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180" windowWidth="19440" windowHeight="10905" tabRatio="942" activeTab="5"/>
  </bookViews>
  <sheets>
    <sheet name="11_sz_melléklet_Hallgatói" sheetId="162" r:id="rId1"/>
    <sheet name="12A_melléklet_Képzési" sheetId="163" r:id="rId2"/>
    <sheet name="12B_melléklet_Speciális" sheetId="181" r:id="rId3"/>
    <sheet name="12B1_melléklet_Illetménytöb " sheetId="180" r:id="rId4"/>
    <sheet name="12D_melléklet_PPP " sheetId="179" r:id="rId5"/>
    <sheet name="12_melléklet_Összesítés" sheetId="182" r:id="rId6"/>
  </sheets>
  <externalReferences>
    <externalReference r:id="rId7"/>
  </externalReferences>
  <definedNames>
    <definedName name="eee" localSheetId="5">#REF!</definedName>
    <definedName name="eee" localSheetId="2">#REF!</definedName>
    <definedName name="eee">#REF!</definedName>
    <definedName name="_xlnm.Print_Area" localSheetId="0">'11_sz_melléklet_Hallgatói'!$A$1:$H$79</definedName>
    <definedName name="_xlnm.Print_Area" localSheetId="5">'12_melléklet_Összesítés'!$A$1:$N$9</definedName>
    <definedName name="_xlnm.Print_Area" localSheetId="3">'12B1_melléklet_Illetménytöb '!$A$1:$J$57</definedName>
    <definedName name="Oszlopok_Hallgatói" localSheetId="5">#REF!</definedName>
    <definedName name="Oszlopok_Hallgatói" localSheetId="2">#REF!</definedName>
    <definedName name="Oszlopok_Hallgatói" localSheetId="3">#REF!</definedName>
    <definedName name="Oszlopok_Hallgatói" localSheetId="4">#REF!</definedName>
    <definedName name="Oszlopok_Hallgatói">#REF!</definedName>
    <definedName name="Oszlopok_Kis_szakok_Ősz" localSheetId="5">#REF!</definedName>
    <definedName name="Oszlopok_Kis_szakok_Ősz" localSheetId="2">#REF!</definedName>
    <definedName name="Oszlopok_Kis_szakok_Ősz" localSheetId="3">#REF!</definedName>
    <definedName name="Oszlopok_Kis_szakok_Ősz" localSheetId="4">#REF!</definedName>
    <definedName name="Oszlopok_Kis_szakok_Ősz">#REF!</definedName>
    <definedName name="Oszlopok_Kis_szakok_Ősz_Támogatás" localSheetId="5">#REF!</definedName>
    <definedName name="Oszlopok_Kis_szakok_Ősz_Támogatás" localSheetId="2">#REF!</definedName>
    <definedName name="Oszlopok_Kis_szakok_Ősz_Támogatás" localSheetId="3">#REF!</definedName>
    <definedName name="Oszlopok_Kis_szakok_Ősz_Támogatás" localSheetId="4">#REF!</definedName>
    <definedName name="Oszlopok_Kis_szakok_Ősz_Támogatás">#REF!</definedName>
    <definedName name="Oszlopok_Köznevelési" localSheetId="5">#REF!</definedName>
    <definedName name="Oszlopok_Köznevelési" localSheetId="2">#REF!</definedName>
    <definedName name="Oszlopok_Köznevelési" localSheetId="3">#REF!</definedName>
    <definedName name="Oszlopok_Köznevelési" localSheetId="4">#REF!</definedName>
    <definedName name="Oszlopok_Köznevelési">#REF!</definedName>
    <definedName name="Oszlopok_Nemzetiségi_szakok_Ősz" localSheetId="5">#REF!</definedName>
    <definedName name="Oszlopok_Nemzetiségi_szakok_Ősz" localSheetId="2">#REF!</definedName>
    <definedName name="Oszlopok_Nemzetiségi_szakok_Ősz" localSheetId="3">#REF!</definedName>
    <definedName name="Oszlopok_Nemzetiségi_szakok_Ősz" localSheetId="4">#REF!</definedName>
    <definedName name="Oszlopok_Nemzetiségi_szakok_Ősz">#REF!</definedName>
    <definedName name="Oszlopok_Speciális" localSheetId="5">#REF!</definedName>
    <definedName name="Oszlopok_Speciális" localSheetId="2">#REF!</definedName>
    <definedName name="Oszlopok_Speciális" localSheetId="3">#REF!</definedName>
    <definedName name="Oszlopok_Speciális" localSheetId="4">#REF!</definedName>
    <definedName name="Oszlopok_Speciális">#REF!</definedName>
  </definedNames>
  <calcPr calcId="145621"/>
</workbook>
</file>

<file path=xl/calcChain.xml><?xml version="1.0" encoding="utf-8"?>
<calcChain xmlns="http://schemas.openxmlformats.org/spreadsheetml/2006/main">
  <c r="L9" i="182" l="1"/>
  <c r="N9" i="182" s="1"/>
  <c r="K8" i="182"/>
  <c r="J8" i="182"/>
  <c r="I8" i="182"/>
  <c r="H7" i="182"/>
  <c r="G7" i="182"/>
  <c r="F7" i="182"/>
  <c r="E6" i="182"/>
  <c r="D6" i="182"/>
  <c r="C6" i="182"/>
  <c r="AA26" i="181"/>
  <c r="AA25" i="181"/>
  <c r="AA24" i="181"/>
  <c r="AA23" i="181"/>
  <c r="AA22" i="181"/>
  <c r="AA21" i="181"/>
  <c r="AA20" i="181"/>
  <c r="AA19" i="181"/>
  <c r="AA18" i="181"/>
  <c r="AA17" i="181"/>
  <c r="P16" i="181"/>
  <c r="AA16" i="181" s="1"/>
  <c r="AA15" i="181"/>
  <c r="AA14" i="181"/>
  <c r="N14" i="181"/>
  <c r="AA13" i="181"/>
  <c r="K12" i="181"/>
  <c r="L12" i="181" s="1"/>
  <c r="AA12" i="181" s="1"/>
  <c r="AA11" i="181"/>
  <c r="AA10" i="181"/>
  <c r="AA9" i="181"/>
  <c r="AA8" i="181"/>
  <c r="AA7" i="181"/>
  <c r="AA27" i="181" l="1"/>
  <c r="F26" i="179"/>
  <c r="E10" i="179" l="1"/>
  <c r="F83" i="162" l="1"/>
  <c r="F20" i="179" l="1"/>
  <c r="J57" i="180" l="1"/>
  <c r="D57" i="180"/>
  <c r="F57" i="180" s="1"/>
  <c r="F20" i="162" l="1"/>
  <c r="D18" i="162"/>
  <c r="F18" i="162" s="1"/>
  <c r="F25" i="162" s="1"/>
  <c r="G12" i="162"/>
  <c r="G9" i="162"/>
  <c r="F84" i="162"/>
  <c r="F85" i="162"/>
  <c r="F86" i="162"/>
  <c r="F87" i="162"/>
  <c r="F88" i="162"/>
  <c r="F89" i="162"/>
  <c r="F90" i="162"/>
  <c r="F91" i="162"/>
  <c r="E92" i="162"/>
  <c r="D92" i="162"/>
  <c r="D22" i="162"/>
  <c r="F21" i="162"/>
  <c r="F19" i="162"/>
  <c r="D17" i="162"/>
  <c r="C92" i="162"/>
  <c r="B92" i="162"/>
  <c r="F92" i="162" s="1"/>
  <c r="E33" i="163"/>
  <c r="F6" i="163"/>
  <c r="D25" i="179"/>
  <c r="C25" i="179"/>
  <c r="C26" i="179" s="1"/>
  <c r="E24" i="179"/>
  <c r="E23" i="179"/>
  <c r="E22" i="179"/>
  <c r="E25" i="179" s="1"/>
  <c r="G25" i="179" s="1"/>
  <c r="E19" i="179"/>
  <c r="E18" i="179"/>
  <c r="E17" i="179"/>
  <c r="D16" i="179"/>
  <c r="D20" i="179"/>
  <c r="D26" i="179" s="1"/>
  <c r="E15" i="179"/>
  <c r="D13" i="179"/>
  <c r="E12" i="179"/>
  <c r="E11" i="179"/>
  <c r="E13" i="179"/>
  <c r="G13" i="179" s="1"/>
  <c r="E16" i="179"/>
  <c r="E20" i="179"/>
  <c r="G20" i="179" s="1"/>
  <c r="E66" i="162"/>
  <c r="E65" i="162"/>
  <c r="F65" i="162" s="1"/>
  <c r="E64" i="162"/>
  <c r="E63" i="162"/>
  <c r="F63" i="162" s="1"/>
  <c r="E62" i="162"/>
  <c r="E61" i="162"/>
  <c r="F61" i="162" s="1"/>
  <c r="E60" i="162"/>
  <c r="E59" i="162"/>
  <c r="F59" i="162" s="1"/>
  <c r="E58" i="162"/>
  <c r="E57" i="162"/>
  <c r="F57" i="162" s="1"/>
  <c r="E56" i="162"/>
  <c r="E55" i="162"/>
  <c r="F55" i="162" s="1"/>
  <c r="E54" i="162"/>
  <c r="E53" i="162"/>
  <c r="F53" i="162" s="1"/>
  <c r="E52" i="162"/>
  <c r="F52" i="162"/>
  <c r="E51" i="162"/>
  <c r="F51" i="162" s="1"/>
  <c r="E50" i="162"/>
  <c r="F50" i="162" s="1"/>
  <c r="E49" i="162"/>
  <c r="E48" i="162"/>
  <c r="E47" i="162"/>
  <c r="E24" i="163"/>
  <c r="E25" i="163"/>
  <c r="E26" i="163" s="1"/>
  <c r="E16" i="163"/>
  <c r="E17" i="163"/>
  <c r="E18" i="163" s="1"/>
  <c r="E35" i="162"/>
  <c r="F35" i="162"/>
  <c r="E36" i="162"/>
  <c r="F36" i="162" s="1"/>
  <c r="E37" i="162"/>
  <c r="F37" i="162"/>
  <c r="F49" i="162"/>
  <c r="F54" i="162"/>
  <c r="F56" i="162"/>
  <c r="F58" i="162"/>
  <c r="F60" i="162"/>
  <c r="F62" i="162"/>
  <c r="F64" i="162"/>
  <c r="F66" i="162"/>
  <c r="F22" i="162"/>
  <c r="F23" i="162"/>
  <c r="F24" i="162"/>
  <c r="F48" i="162"/>
  <c r="F47" i="162"/>
  <c r="F70" i="162" s="1"/>
  <c r="E45" i="162"/>
  <c r="F45" i="162" s="1"/>
  <c r="E44" i="162"/>
  <c r="F44" i="162"/>
  <c r="E43" i="162"/>
  <c r="F43" i="162" s="1"/>
  <c r="E42" i="162"/>
  <c r="F42" i="162"/>
  <c r="E41" i="162"/>
  <c r="F41" i="162" s="1"/>
  <c r="E40" i="162"/>
  <c r="F40" i="162"/>
  <c r="E39" i="162"/>
  <c r="F39" i="162" s="1"/>
  <c r="E38" i="162"/>
  <c r="F38" i="162"/>
  <c r="E34" i="162"/>
  <c r="F34" i="162" s="1"/>
  <c r="E33" i="162"/>
  <c r="F33" i="162"/>
  <c r="F46" i="162" s="1"/>
  <c r="H46" i="162" s="1"/>
  <c r="F31" i="162"/>
  <c r="F30" i="162"/>
  <c r="F29" i="162"/>
  <c r="F28" i="162"/>
  <c r="F27" i="162"/>
  <c r="F32" i="162" s="1"/>
  <c r="F26" i="162"/>
  <c r="F17" i="162"/>
  <c r="F16" i="162"/>
  <c r="D11" i="162"/>
  <c r="F11" i="162" s="1"/>
  <c r="D10" i="162"/>
  <c r="F10" i="162" s="1"/>
  <c r="G26" i="179" l="1"/>
  <c r="C5" i="163"/>
  <c r="E26" i="179"/>
  <c r="G32" i="162"/>
  <c r="H32" i="162" s="1"/>
  <c r="G10" i="162"/>
  <c r="H10" i="162" s="1"/>
  <c r="G70" i="162"/>
  <c r="H70" i="162" s="1"/>
  <c r="G11" i="162"/>
  <c r="H11" i="162" s="1"/>
  <c r="D12" i="162"/>
  <c r="F12" i="162" s="1"/>
  <c r="H12" i="162" s="1"/>
  <c r="G25" i="162"/>
  <c r="H25" i="162" s="1"/>
  <c r="D9" i="162"/>
  <c r="F9" i="162" s="1"/>
  <c r="C4" i="163"/>
  <c r="H9" i="162"/>
  <c r="F71" i="162" l="1"/>
  <c r="H71" i="162"/>
  <c r="G71" i="162"/>
  <c r="C6" i="163"/>
  <c r="E6" i="163"/>
  <c r="G6" i="163" l="1"/>
</calcChain>
</file>

<file path=xl/connections.xml><?xml version="1.0" encoding="utf-8"?>
<connections xmlns="http://schemas.openxmlformats.org/spreadsheetml/2006/main">
  <connection id="1" name="2015_04_02_fin" type="6" refreshedVersion="5" background="1" saveData="1">
    <textPr codePage="65001" sourceFile="S:\FIR\24_EMMI_lekerdezes\Finanszírozáshoz - 20150402\2015_04_02_fin.txt" decimal="," thousands=" ">
      <textFields count="6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2015_04_02_fin1" type="6" refreshedVersion="5" background="1" saveData="1">
    <textPr codePage="65001" sourceFile="S:\FIR\24_EMMI_lekerdezes\Finanszírozáshoz - 20150402\2015_04_02_fin.txt" decimal="," thousands=" ">
      <textFields count="6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mmi_adatigeny_20151611" type="6" refreshedVersion="5" background="1" saveData="1">
    <textPr codePage="65001" sourceFile="S:\FIR\24_EMMI_lekerdezes\Finanszírozáshoz - 20151102\emmi_adatigeny_2015161.txt" decimal="," thousands=" ">
      <textFields count="7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<sst xmlns="http://schemas.openxmlformats.org/spreadsheetml/2006/main" count="298" uniqueCount="230">
  <si>
    <t>Intézmény rövidítése</t>
  </si>
  <si>
    <t>Megnevezés</t>
  </si>
  <si>
    <r>
      <t xml:space="preserve">Jogosult létszám
</t>
    </r>
    <r>
      <rPr>
        <sz val="10"/>
        <rFont val="Times New Roman"/>
        <family val="1"/>
        <charset val="238"/>
      </rPr>
      <t>[átlaglétszám]</t>
    </r>
    <r>
      <rPr>
        <b/>
        <sz val="10"/>
        <rFont val="Times New Roman"/>
        <family val="1"/>
        <charset val="238"/>
      </rPr>
      <t xml:space="preserve">
(fő)</t>
    </r>
  </si>
  <si>
    <t>Jogosult előirányzat
(E Ft)</t>
  </si>
  <si>
    <t>Rendelkezésre álló előirányzat
(E Ft)</t>
  </si>
  <si>
    <t>Különbözet
(E Ft)</t>
  </si>
  <si>
    <t>Hallgatói juttatás</t>
  </si>
  <si>
    <t xml:space="preserve">Kollégiumi támogatás </t>
  </si>
  <si>
    <t xml:space="preserve">Lakhatási támogatás </t>
  </si>
  <si>
    <t>Tankönyv, jegyzet, sport, kulturális támogatás</t>
  </si>
  <si>
    <t>Jogosultsági hónapok száma (hónap)</t>
  </si>
  <si>
    <r>
      <t xml:space="preserve">Jogosult létszám
</t>
    </r>
    <r>
      <rPr>
        <sz val="10"/>
        <rFont val="Times New Roman"/>
        <family val="1"/>
        <charset val="238"/>
      </rPr>
      <t>[tényleges létszám]</t>
    </r>
    <r>
      <rPr>
        <b/>
        <sz val="10"/>
        <rFont val="Times New Roman"/>
        <family val="1"/>
        <charset val="238"/>
      </rPr>
      <t xml:space="preserve">
(fő)</t>
    </r>
  </si>
  <si>
    <t>Normatíva összege
(E Ft/fő/hónap)</t>
  </si>
  <si>
    <t>Doktorandusz hallgatók ösztöndíja összesen</t>
  </si>
  <si>
    <r>
      <t xml:space="preserve">Köztársasági ösztöndíj
</t>
    </r>
    <r>
      <rPr>
        <sz val="8"/>
        <rFont val="Times New Roman"/>
        <family val="1"/>
        <charset val="238"/>
      </rPr>
      <t>(max. 10 hónap/hallgató/év)</t>
    </r>
  </si>
  <si>
    <t>Köztársasági ösztöndíj összesen</t>
  </si>
  <si>
    <r>
      <t xml:space="preserve">Miniszteri ösztöndíj 1.
</t>
    </r>
    <r>
      <rPr>
        <sz val="8"/>
        <rFont val="Times New Roman"/>
        <family val="1"/>
        <charset val="238"/>
      </rPr>
      <t xml:space="preserve">(max. 10 hónap/hallgató/év)
</t>
    </r>
    <r>
      <rPr>
        <sz val="10"/>
        <rFont val="Times New Roman"/>
        <family val="1"/>
        <charset val="238"/>
      </rPr>
      <t>51/2007. (III. 26.) Korm. r. 26/A. § (2) bekezdése szerint</t>
    </r>
  </si>
  <si>
    <r>
      <t xml:space="preserve">Miniszteri ösztöndíj 2.
</t>
    </r>
    <r>
      <rPr>
        <sz val="8"/>
        <rFont val="Times New Roman"/>
        <family val="1"/>
        <charset val="238"/>
      </rPr>
      <t xml:space="preserve">(max. 10 vagy 12 hónap/hallgató/év)
</t>
    </r>
    <r>
      <rPr>
        <sz val="10"/>
        <rFont val="Times New Roman"/>
        <family val="1"/>
        <charset val="238"/>
      </rPr>
      <t>51/2007. (III. 26.) Korm. r. 26. § (2) bekezdés b) pontja szerint</t>
    </r>
  </si>
  <si>
    <r>
      <t xml:space="preserve">Miniszteri ösztöndíj 3.
</t>
    </r>
    <r>
      <rPr>
        <sz val="8"/>
        <rFont val="Times New Roman"/>
        <family val="1"/>
        <charset val="238"/>
      </rPr>
      <t xml:space="preserve">(max. 10 vagy 12 hónap/hallgató/év)
</t>
    </r>
    <r>
      <rPr>
        <sz val="10"/>
        <rFont val="Times New Roman"/>
        <family val="1"/>
        <charset val="238"/>
      </rPr>
      <t>51/2007. (III. 26.) Korm. r. 26. § (2) bekezdés c) pontja szerint</t>
    </r>
  </si>
  <si>
    <t>Miniszteri ösztöndíjak összesen</t>
  </si>
  <si>
    <r>
      <t xml:space="preserve">Bursa Hungarica Ösztöndíj intézményi ösztöndíjrésze
</t>
    </r>
    <r>
      <rPr>
        <sz val="8"/>
        <rFont val="Times New Roman"/>
        <family val="1"/>
        <charset val="238"/>
      </rPr>
      <t>(max. 10 hónap/hallgató/év)</t>
    </r>
  </si>
  <si>
    <t>Bursa Hungarica Ösztöndíj intézményi ösztöndíjrésze összesen</t>
  </si>
  <si>
    <t>Hallgatókkal kapcsolatos előirányzatok összesen</t>
  </si>
  <si>
    <t xml:space="preserve">        …………………………………………</t>
  </si>
  <si>
    <t>………………………………………..</t>
  </si>
  <si>
    <t>Képzési támogatás elszámolása</t>
  </si>
  <si>
    <t>12/A. sz. melléklet</t>
  </si>
  <si>
    <t>E Ft</t>
  </si>
  <si>
    <t>Befizetési kötelezettség (+)
vagy
Elismert többlet (-)</t>
  </si>
  <si>
    <t>Megjegyzés:</t>
  </si>
  <si>
    <t>Kifutó: A 2012. szept. 1-je előtt hallgatói jogviszonyt létesített államilag támogatott hallgatók.</t>
  </si>
  <si>
    <t>Ösztöndíjas: A 2012. szept. 1-jén vagy ezt követően hallgatói jogviszonyt létesített állami (rész)ösztöndíjas hallgatók.</t>
  </si>
  <si>
    <t>PPP hozzájárulás elszámolása</t>
  </si>
  <si>
    <t>12/D. sz. melléklet</t>
  </si>
  <si>
    <t>PPP hozzájárulás
projektenkénti bontásban</t>
  </si>
  <si>
    <t>Projekt
megnevezése</t>
  </si>
  <si>
    <t>Számlák összegének
50 %-a</t>
  </si>
  <si>
    <t>(1)</t>
  </si>
  <si>
    <t>(2)</t>
  </si>
  <si>
    <t>(3)</t>
  </si>
  <si>
    <t>Hozzájárulás az oktatási-kutatási infrastruktúra bérleti díjához</t>
  </si>
  <si>
    <t>(Projekt 2)</t>
  </si>
  <si>
    <t>(Projekt 3)</t>
  </si>
  <si>
    <t>Hozzájárulás a meglévő kollégiumok rekonstrukciójának bérleti díjához</t>
  </si>
  <si>
    <t>Hozzájárulás az új kollégiumi férőhelyek bérleti díjához</t>
  </si>
  <si>
    <t xml:space="preserve">Normatíva összege
(E Ft/fő/10 hónap)
</t>
  </si>
  <si>
    <t xml:space="preserve">Jogosult előirányzat
(E Ft)
</t>
  </si>
  <si>
    <t xml:space="preserve">Különbözet
(E Ft)
</t>
  </si>
  <si>
    <r>
      <t xml:space="preserve">Hallgatók létszáma
</t>
    </r>
    <r>
      <rPr>
        <sz val="10"/>
        <rFont val="Times New Roman"/>
        <family val="1"/>
        <charset val="238"/>
      </rPr>
      <t>(államilag támogatott és (rész)ösztöndíjas, nappali munkarendű) (FIR-ből)</t>
    </r>
  </si>
  <si>
    <t>Képzési támogatás,
Kifutó</t>
  </si>
  <si>
    <t>Képzési támogatás,
Ösztöndíjas</t>
  </si>
  <si>
    <t>Képzési támogatás,
Összesen</t>
  </si>
  <si>
    <t>(6) = (3)-(5)</t>
  </si>
  <si>
    <t>(4)</t>
  </si>
  <si>
    <t>2016. évi felhasználás</t>
  </si>
  <si>
    <t>Hosszútávú megállapodásban szereplő intézményi támogatás
2016. évi része</t>
  </si>
  <si>
    <t>Az intézmény 2016. jan. 1.-dec. 31. közötti fizetési határidejű számláinak összege</t>
  </si>
  <si>
    <t>2016. évi EMMI támogatás
(funkcionális táblában szereplő),
(Az elszámolható összeg maximuma)</t>
  </si>
  <si>
    <t>(4) = 50% * (3)</t>
  </si>
  <si>
    <t>(5)</t>
  </si>
  <si>
    <t>Befizetési kötelezettség (+)
vagy
0</t>
  </si>
  <si>
    <t>Mindösszesen</t>
  </si>
  <si>
    <t>Részösszeg (oktatási-kutatási infrastruktúra)</t>
  </si>
  <si>
    <t>Részösszeg (kollégiumok rekonstrukciója)</t>
  </si>
  <si>
    <t>Részösszeg (új kollégiumi férőhelyek)</t>
  </si>
  <si>
    <t>Intézményt megillető képzési támogatás (jogosultság) finanszírozott összege
2016-ban</t>
  </si>
  <si>
    <t>2016. évi jogosultság</t>
  </si>
  <si>
    <t>Támogatási előirányzat
2016-ban</t>
  </si>
  <si>
    <t>2016. évi jogosultság mértéke</t>
  </si>
  <si>
    <t>2016. évi finanszírozottsági szint</t>
  </si>
  <si>
    <t>Képzési támogatás előirányzata
2016-ban</t>
  </si>
  <si>
    <r>
      <t xml:space="preserve">Az államilag támogatott és az állami (rész)ösztöndíjas teljes idejű (nappali munkarendű) képzésben résztvevő hallgatókkal kapcsolatos
2016. évi  költségvetési támogatás elszámolása
</t>
    </r>
    <r>
      <rPr>
        <sz val="8"/>
        <rFont val="Times New Roman"/>
        <family val="1"/>
        <charset val="238"/>
      </rPr>
      <t>(Az 51/2007. (III. 26.) Korm. r. 32. §-a alapján)</t>
    </r>
  </si>
  <si>
    <t>2016. márc. 15.</t>
  </si>
  <si>
    <t>2016. okt. 15.</t>
  </si>
  <si>
    <t>(6)</t>
  </si>
  <si>
    <t>(7)</t>
  </si>
  <si>
    <t>(8) = (7) - (6)</t>
  </si>
  <si>
    <t>SZIE</t>
  </si>
  <si>
    <r>
      <t xml:space="preserve">Doktorandusz hallgatók ösztöndíja
</t>
    </r>
    <r>
      <rPr>
        <sz val="8"/>
        <rFont val="Times New Roman"/>
        <family val="1"/>
        <charset val="238"/>
      </rPr>
      <t>(max. 12 hónap/hallgató/év)
(Felmenő rendszerben 2016. szept. 1-től 140 E Ft/fő/hó)</t>
    </r>
  </si>
  <si>
    <t>12/B1. sz. melléklet</t>
  </si>
  <si>
    <t>egyetemi tanár 1. fizetési fokozat</t>
  </si>
  <si>
    <t>egyetemi tanár 2. fizetési fokozat</t>
  </si>
  <si>
    <t>egyetemi tanár 3. fizetési fokozat</t>
  </si>
  <si>
    <t>egyetemi docens 1. fizetési fokozat</t>
  </si>
  <si>
    <t>egyetemi docens 2. fizetési fokozat</t>
  </si>
  <si>
    <t>egyetemi docens 3. fizetési fokozat</t>
  </si>
  <si>
    <t>egyetemi docens 4. fizetési fokozat (habilitációval)</t>
  </si>
  <si>
    <t>egyetemi adjunktus 1. fizetési fokozat</t>
  </si>
  <si>
    <t>egyetemi adjunktus 2. fizetési fokozat</t>
  </si>
  <si>
    <t>egyetemi adjunktus 3. fizetési fokozat</t>
  </si>
  <si>
    <t>egyetemi tanársegéd 1. fizetési fokozat</t>
  </si>
  <si>
    <t>egyetemi tanársegéd 2. fizetési fokozat</t>
  </si>
  <si>
    <t>főiskolai tanár 1. fizetési fokozat</t>
  </si>
  <si>
    <t>főiskolai tanár 2. fizetési fokozat</t>
  </si>
  <si>
    <t>főiskolai tanár 3. fizetési fokozat</t>
  </si>
  <si>
    <t>főiskolai tanár 4. fizetési fokozat (habilitációval)</t>
  </si>
  <si>
    <t>főiskolai docens 1. fizetési fokozat</t>
  </si>
  <si>
    <t>főiskolai docens 2. fizetési fokozat</t>
  </si>
  <si>
    <t>főiskolai docens 3. fizetési fokozat</t>
  </si>
  <si>
    <t xml:space="preserve">főiskola adjunktus 1. fizetési fokozat </t>
  </si>
  <si>
    <t>főiskolai adjunktus 2. fizetési fokozat</t>
  </si>
  <si>
    <t>főiskolai adjunktus 3. fizetési fokozat</t>
  </si>
  <si>
    <t>főiskolai tanársegéd</t>
  </si>
  <si>
    <t>Összesen:</t>
  </si>
  <si>
    <t>kutatóprofesszor, tudományos tanácsadó 1. fizetési fokozat</t>
  </si>
  <si>
    <t>kutatóprofesszor, tudományos tanácsadó 2. fizetési fokozat</t>
  </si>
  <si>
    <t>kutatóprofesszor, tudományos tanácsadó 3. fizetési fokozat</t>
  </si>
  <si>
    <t>tudományos főmunkatárs 1. fizetési fokozat</t>
  </si>
  <si>
    <t>tudományos főmunkatárs 2. fizetési fokozat</t>
  </si>
  <si>
    <t>tudományos főmunkatárs 3. fizetési fokozat</t>
  </si>
  <si>
    <t>tudományos munkatárs</t>
  </si>
  <si>
    <t>tudományos segédmunkatárs</t>
  </si>
  <si>
    <t>mérnöktanár 1. fizetési fokozat</t>
  </si>
  <si>
    <t>mérnöktanár 2. fizetési fokozat</t>
  </si>
  <si>
    <t>mérnöktanár 3. fizetési fokozat</t>
  </si>
  <si>
    <t>nyelvtanár 1. fizetési fokozat</t>
  </si>
  <si>
    <t>nyelvtanár 2. fizetési fokozat</t>
  </si>
  <si>
    <t>nyelvtanár 3. fizetési fokozat</t>
  </si>
  <si>
    <t>testnevelőtanár 1. fizetési fokozat</t>
  </si>
  <si>
    <t>testnevelőtanár 2. fizetési fokozat</t>
  </si>
  <si>
    <t>testnevelőtanár 3. fizetési fokozat</t>
  </si>
  <si>
    <t>kollégiumi nevelőtanár 1. fizetési fokozat</t>
  </si>
  <si>
    <t>kollégiumi nevelőtanár 2. fizetési fokozat</t>
  </si>
  <si>
    <t>kollégiumi nevelőtanár 3. fizetési fokozat</t>
  </si>
  <si>
    <t>mestertanár 1. fizetési fokozat</t>
  </si>
  <si>
    <t>mestertanár 2. fizetési fokozat</t>
  </si>
  <si>
    <t>mestertanár 3. fizetési fokozat</t>
  </si>
  <si>
    <t>művésztanár 1. fizetési fokozat</t>
  </si>
  <si>
    <t>művésztanár 2. fizetési fokozat</t>
  </si>
  <si>
    <t>művésztanár 3. fizetési fokozat</t>
  </si>
  <si>
    <t>Oktatói munkakörök</t>
  </si>
  <si>
    <t>mesteroktató 1. fizetési fokozat</t>
  </si>
  <si>
    <t>mesteroktató 2. fizetési fokozat</t>
  </si>
  <si>
    <t>Oktató, kutató és tanár munkakörök</t>
  </si>
  <si>
    <t>Kutatói munkakörök</t>
  </si>
  <si>
    <t>Tanári munkakörök</t>
  </si>
  <si>
    <t>A képzési támogatás 2016. július-augusztus havi elvonása a SZIE-ÁOTK-ról:</t>
  </si>
  <si>
    <t>SZIE-ÁOTK 2016. jan.-aug. közötti képzési támogatása:</t>
  </si>
  <si>
    <t>ÁTE 2016. szept.-dec. közötti képzési támogatása:</t>
  </si>
  <si>
    <t>Együtt a két intézmény:</t>
  </si>
  <si>
    <t>Félévre arányosítás:</t>
  </si>
  <si>
    <t>A képzési támogatás 2016. július-augusztus havi elvonása a SZIE-ABPK-Jászberény-ről:</t>
  </si>
  <si>
    <t>SZIE-ABPK-Jászberény 2016. jan.-aug. közötti képzési támogatása:</t>
  </si>
  <si>
    <t>EKE 2016. szept.-dec. közötti képzési támogatása:</t>
  </si>
  <si>
    <t>SZIE-től áthelyezés ÁTE-ra 2016. júl.-aug.-ra (jogosultság csökkentés)</t>
  </si>
  <si>
    <t>SZIE-től áthelyezés EKE-re 2016. júl.-aug.-ra (jogosultság növelés)</t>
  </si>
  <si>
    <t xml:space="preserve">Speciális programok, feladatok: Illetménytöbblet 2016. évi fedezetének elszámolása </t>
  </si>
  <si>
    <t>Illetménytöbblet 2016. évi fedezete 
(funkcionális költségvetésben megtervezve)</t>
  </si>
  <si>
    <t xml:space="preserve">Évközben biztosított illetménytöbblet FSA előirányzat terhére 
26940-1/2016/KTF levél alapján (2016.06.16.) </t>
  </si>
  <si>
    <t>Békéscsaba oktatási infrastr.</t>
  </si>
  <si>
    <t>Békéscsaba Alma Mater Hostel</t>
  </si>
  <si>
    <t>Szarvas A,B és C kollégiumok</t>
  </si>
  <si>
    <t>Jászberényi Zirzen Janka kollégium</t>
  </si>
  <si>
    <t>Gödöllői A és B kollégium</t>
  </si>
  <si>
    <t>Somogyi I. kollégium</t>
  </si>
  <si>
    <t>Gödöllői diákotthon</t>
  </si>
  <si>
    <t>Eredeti előirányzat</t>
  </si>
  <si>
    <t xml:space="preserve">Budai Campus 1 havi képzési támogatás </t>
  </si>
  <si>
    <t>ÁOTK átadás</t>
  </si>
  <si>
    <t>ABPK átadás</t>
  </si>
  <si>
    <t>SZIE előirányzat</t>
  </si>
  <si>
    <t>Eredeti hallgatói előirányzat</t>
  </si>
  <si>
    <t>Hallgatók pénzbeli juttatása</t>
  </si>
  <si>
    <t>Bursa Hungarica Ösztöndíj intézményi ösztöndíjrésze</t>
  </si>
  <si>
    <t xml:space="preserve">Doktorandusz hallgatók ösztöndíja </t>
  </si>
  <si>
    <t>Köztársasági ösztöndíj</t>
  </si>
  <si>
    <t>Kollégiumi támogatás</t>
  </si>
  <si>
    <t>Lakhatási támogatás</t>
  </si>
  <si>
    <t>Miniszteri ösztöndíj(határon túliak tám)</t>
  </si>
  <si>
    <t>Miniszteri ösztöndíj(egyéb tám)</t>
  </si>
  <si>
    <t>Budai Campus                 1 havi támog</t>
  </si>
  <si>
    <t>Rendelkezésre álló előirányzat</t>
  </si>
  <si>
    <t>ABPK előirányzat átadás</t>
  </si>
  <si>
    <t>AOTK előirányzat átadás</t>
  </si>
  <si>
    <t>Figler Kálmán kancellár</t>
  </si>
  <si>
    <t>Gödöllő 2017.  február 28.</t>
  </si>
  <si>
    <t>11.sz.melléklet megjegyzése</t>
  </si>
  <si>
    <t>Speciális programok, feladatok támogatása</t>
  </si>
  <si>
    <t>12/B. sz. melléklet</t>
  </si>
  <si>
    <t xml:space="preserve">Anyanyelvi lektorok </t>
  </si>
  <si>
    <t>"Kis szakok"</t>
  </si>
  <si>
    <t>OSJER laborok</t>
  </si>
  <si>
    <t>Tűz- és vagyon-védelem</t>
  </si>
  <si>
    <t>Nemzetiségi képzés támogatása</t>
  </si>
  <si>
    <t>Fogyatékkal élők
jogosult létszáma
(átlaglétszám)
(FIR-ből)</t>
  </si>
  <si>
    <t>Fogyatékkal élők
jogosult normatív támogatása</t>
  </si>
  <si>
    <t>Tanulmányi rendszerek és/vagy Diplomás Pályakövető Rendszer intézményi támogatása</t>
  </si>
  <si>
    <t>EISZ  intézményi támogatása</t>
  </si>
  <si>
    <t>Kutató-intézet, kísérleti üzem támogatása</t>
  </si>
  <si>
    <t>Arboré-tumok, botanikus kertek támogatása</t>
  </si>
  <si>
    <t>Mikro-organizmus gyűjtemény támogatása</t>
  </si>
  <si>
    <t>Szülőföld képzés</t>
  </si>
  <si>
    <t>Illetmény-többlet 2016. évi fedezete</t>
  </si>
  <si>
    <t>Gépmúzeum</t>
  </si>
  <si>
    <t>Biogazdál-kodás, hungaricum, eredetvéd. kieg. tám.</t>
  </si>
  <si>
    <t>Pedagógus díszdiploma</t>
  </si>
  <si>
    <t>Laboratórium  támogatása</t>
  </si>
  <si>
    <t>K+F+I fókusz erősítése</t>
  </si>
  <si>
    <t>Köznevelési gyakorlóhely hiánya miatt kompenzálás</t>
  </si>
  <si>
    <t>Gödöllői tangazdaság</t>
  </si>
  <si>
    <t>Jogosultság mindösszesen</t>
  </si>
  <si>
    <t>létszáma (fő)</t>
  </si>
  <si>
    <t xml:space="preserve">bére, járuléka </t>
  </si>
  <si>
    <t>lakhatási támogatás
(pl. bérlés)</t>
  </si>
  <si>
    <t>Jogosultság összesen</t>
  </si>
  <si>
    <t>Anyanyelvi lektorok</t>
  </si>
  <si>
    <t>OSJER labor</t>
  </si>
  <si>
    <t>Tűz- és vagyonvédelem</t>
  </si>
  <si>
    <t>Fogyatékkal élők jogosult normatív támogatása</t>
  </si>
  <si>
    <t>EISZ intézményi támogatása</t>
  </si>
  <si>
    <t>Kutatóintézet, kísérleti üzem támogatása</t>
  </si>
  <si>
    <t>Arborétumok, botanikus kertek támogatása</t>
  </si>
  <si>
    <t>Mikroorganizmus gyűjtemény támogatása</t>
  </si>
  <si>
    <t>Illetménytöbblet 2016. évi fedezete</t>
  </si>
  <si>
    <t>Biogazdálkodás, hungaricum,eredetvéd.kieg.</t>
  </si>
  <si>
    <t>Laboratóriumok támogatása</t>
  </si>
  <si>
    <t>Speciális programok mindösszesen</t>
  </si>
  <si>
    <t>12-es mellékletek összesítése</t>
  </si>
  <si>
    <t>12. sz. melléklet</t>
  </si>
  <si>
    <t>Képzési támogatás</t>
  </si>
  <si>
    <t>Köznevelési feladatok támogatása</t>
  </si>
  <si>
    <t>PPP hozzájárulás</t>
  </si>
  <si>
    <t>Speciális programok, feladatok</t>
  </si>
  <si>
    <t>Támogatás előirányzat
2016-ban</t>
  </si>
  <si>
    <t>Támogatás
2016-ban</t>
  </si>
  <si>
    <r>
      <t>Képzési támogatás</t>
    </r>
    <r>
      <rPr>
        <sz val="10"/>
        <rFont val="Times New Roman"/>
        <family val="1"/>
        <charset val="238"/>
      </rPr>
      <t xml:space="preserve">  (12/A. sz. melléklet)</t>
    </r>
  </si>
  <si>
    <r>
      <t xml:space="preserve">Köznevelési feladatok </t>
    </r>
    <r>
      <rPr>
        <sz val="10"/>
        <rFont val="Times New Roman"/>
        <family val="1"/>
        <charset val="238"/>
      </rPr>
      <t xml:space="preserve"> (12/C. sz. melléklet [legfelső tábla])</t>
    </r>
  </si>
  <si>
    <r>
      <t xml:space="preserve">PPP hozzájárulás </t>
    </r>
    <r>
      <rPr>
        <sz val="10"/>
        <rFont val="Times New Roman"/>
        <family val="1"/>
        <charset val="238"/>
      </rPr>
      <t xml:space="preserve"> (12/D. sz. melléklet)</t>
    </r>
  </si>
  <si>
    <r>
      <t xml:space="preserve">Speciális programok, feladatok </t>
    </r>
    <r>
      <rPr>
        <sz val="10"/>
        <rFont val="Times New Roman"/>
        <family val="1"/>
        <charset val="238"/>
      </rPr>
      <t xml:space="preserve"> (12/B. sz. melléklet)</t>
    </r>
  </si>
  <si>
    <t>2. oszlopban a tényleges kifizetés 50%-a került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</si>
</sst>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0.0000%"/>
  </numFmts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-Times New Roman"/>
      <family val="1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/>
    <xf numFmtId="0" fontId="3" fillId="0" borderId="0"/>
    <xf numFmtId="0" fontId="4" fillId="0" borderId="0"/>
    <xf numFmtId="0" fontId="3" fillId="0" borderId="0"/>
    <xf numFmtId="0" fontId="2" fillId="2" borderId="0"/>
    <xf numFmtId="0" fontId="5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</cellStyleXfs>
  <cellXfs count="343">
    <xf numFmtId="0" fontId="0" fillId="0" borderId="0" xfId="0"/>
    <xf numFmtId="0" fontId="17" fillId="0" borderId="0" xfId="4" applyFont="1"/>
    <xf numFmtId="0" fontId="17" fillId="0" borderId="10" xfId="4" applyFont="1" applyBorder="1"/>
    <xf numFmtId="0" fontId="18" fillId="4" borderId="2" xfId="4" applyFont="1" applyFill="1" applyBorder="1" applyAlignment="1">
      <alignment horizontal="center" vertical="center" wrapText="1"/>
    </xf>
    <xf numFmtId="0" fontId="18" fillId="4" borderId="3" xfId="4" applyFont="1" applyFill="1" applyBorder="1" applyAlignment="1">
      <alignment horizontal="center" vertical="center" wrapText="1"/>
    </xf>
    <xf numFmtId="0" fontId="18" fillId="0" borderId="28" xfId="4" applyFont="1" applyBorder="1" applyAlignment="1">
      <alignment vertical="center"/>
    </xf>
    <xf numFmtId="164" fontId="17" fillId="0" borderId="6" xfId="4" applyNumberFormat="1" applyFont="1" applyFill="1" applyBorder="1" applyAlignment="1">
      <alignment vertical="center"/>
    </xf>
    <xf numFmtId="164" fontId="17" fillId="3" borderId="29" xfId="4" applyNumberFormat="1" applyFont="1" applyFill="1" applyBorder="1" applyAlignment="1">
      <alignment horizontal="center" vertical="center"/>
    </xf>
    <xf numFmtId="3" fontId="17" fillId="0" borderId="30" xfId="4" applyNumberFormat="1" applyFont="1" applyBorder="1" applyAlignment="1">
      <alignment vertical="center"/>
    </xf>
    <xf numFmtId="3" fontId="17" fillId="0" borderId="29" xfId="4" applyNumberFormat="1" applyFont="1" applyFill="1" applyBorder="1" applyAlignment="1">
      <alignment vertical="center"/>
    </xf>
    <xf numFmtId="3" fontId="18" fillId="0" borderId="31" xfId="4" applyNumberFormat="1" applyFont="1" applyBorder="1" applyAlignment="1">
      <alignment vertical="center"/>
    </xf>
    <xf numFmtId="0" fontId="18" fillId="0" borderId="32" xfId="4" applyFont="1" applyBorder="1" applyAlignment="1">
      <alignment vertical="center"/>
    </xf>
    <xf numFmtId="164" fontId="17" fillId="0" borderId="1" xfId="4" applyNumberFormat="1" applyFont="1" applyFill="1" applyBorder="1" applyAlignment="1">
      <alignment vertical="center"/>
    </xf>
    <xf numFmtId="164" fontId="17" fillId="3" borderId="3" xfId="4" applyNumberFormat="1" applyFont="1" applyFill="1" applyBorder="1" applyAlignment="1">
      <alignment horizontal="center" vertical="center"/>
    </xf>
    <xf numFmtId="3" fontId="17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8" fillId="0" borderId="0" xfId="4" applyFont="1"/>
    <xf numFmtId="0" fontId="18" fillId="0" borderId="35" xfId="4" applyFont="1" applyBorder="1" applyAlignment="1">
      <alignment vertical="center"/>
    </xf>
    <xf numFmtId="164" fontId="17" fillId="0" borderId="36" xfId="4" applyNumberFormat="1" applyFont="1" applyFill="1" applyBorder="1" applyAlignment="1">
      <alignment vertical="center"/>
    </xf>
    <xf numFmtId="164" fontId="17" fillId="3" borderId="37" xfId="4" applyNumberFormat="1" applyFont="1" applyFill="1" applyBorder="1" applyAlignment="1">
      <alignment horizontal="center" vertical="center"/>
    </xf>
    <xf numFmtId="3" fontId="17" fillId="0" borderId="38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8" fillId="6" borderId="40" xfId="4" applyFont="1" applyFill="1" applyBorder="1" applyAlignment="1">
      <alignment vertical="center"/>
    </xf>
    <xf numFmtId="3" fontId="18" fillId="6" borderId="41" xfId="4" applyNumberFormat="1" applyFont="1" applyFill="1" applyBorder="1" applyAlignment="1">
      <alignment vertical="center"/>
    </xf>
    <xf numFmtId="164" fontId="17" fillId="6" borderId="41" xfId="4" applyNumberFormat="1" applyFont="1" applyFill="1" applyBorder="1" applyAlignment="1">
      <alignment vertical="center"/>
    </xf>
    <xf numFmtId="0" fontId="17" fillId="6" borderId="41" xfId="4" applyFont="1" applyFill="1" applyBorder="1" applyAlignment="1">
      <alignment horizontal="center" vertical="center"/>
    </xf>
    <xf numFmtId="3" fontId="17" fillId="6" borderId="41" xfId="4" applyNumberFormat="1" applyFont="1" applyFill="1" applyBorder="1" applyAlignment="1">
      <alignment vertical="center"/>
    </xf>
    <xf numFmtId="3" fontId="18" fillId="6" borderId="42" xfId="4" applyNumberFormat="1" applyFont="1" applyFill="1" applyBorder="1" applyAlignment="1">
      <alignment vertical="center"/>
    </xf>
    <xf numFmtId="0" fontId="18" fillId="4" borderId="40" xfId="38" applyFont="1" applyFill="1" applyBorder="1" applyAlignment="1">
      <alignment horizontal="center" vertical="center"/>
    </xf>
    <xf numFmtId="0" fontId="18" fillId="4" borderId="43" xfId="38" applyFont="1" applyFill="1" applyBorder="1" applyAlignment="1">
      <alignment horizontal="center" vertical="center" wrapText="1"/>
    </xf>
    <xf numFmtId="0" fontId="18" fillId="4" borderId="44" xfId="38" applyFont="1" applyFill="1" applyBorder="1" applyAlignment="1">
      <alignment horizontal="center" vertical="center" wrapText="1"/>
    </xf>
    <xf numFmtId="0" fontId="18" fillId="4" borderId="45" xfId="38" applyFont="1" applyFill="1" applyBorder="1" applyAlignment="1">
      <alignment horizontal="center" vertical="center" wrapText="1"/>
    </xf>
    <xf numFmtId="0" fontId="18" fillId="4" borderId="16" xfId="38" applyFont="1" applyFill="1" applyBorder="1" applyAlignment="1">
      <alignment horizontal="center" vertical="center" wrapText="1"/>
    </xf>
    <xf numFmtId="3" fontId="18" fillId="4" borderId="15" xfId="4" applyNumberFormat="1" applyFont="1" applyFill="1" applyBorder="1" applyAlignment="1">
      <alignment horizontal="center" vertical="center" wrapText="1"/>
    </xf>
    <xf numFmtId="3" fontId="18" fillId="4" borderId="17" xfId="4" applyNumberFormat="1" applyFont="1" applyFill="1" applyBorder="1" applyAlignment="1">
      <alignment horizontal="center" vertical="center" wrapText="1"/>
    </xf>
    <xf numFmtId="0" fontId="17" fillId="10" borderId="46" xfId="38" applyFont="1" applyFill="1" applyBorder="1" applyAlignment="1">
      <alignment horizontal="center" vertical="center"/>
    </xf>
    <xf numFmtId="3" fontId="17" fillId="0" borderId="5" xfId="38" applyNumberFormat="1" applyFont="1" applyBorder="1" applyAlignment="1">
      <alignment horizontal="center" vertical="center"/>
    </xf>
    <xf numFmtId="3" fontId="17" fillId="0" borderId="0" xfId="4" applyNumberFormat="1" applyFont="1" applyBorder="1" applyAlignment="1">
      <alignment vertical="center"/>
    </xf>
    <xf numFmtId="164" fontId="17" fillId="0" borderId="47" xfId="38" applyNumberFormat="1" applyFont="1" applyBorder="1" applyAlignment="1">
      <alignment horizontal="center" vertical="center"/>
    </xf>
    <xf numFmtId="3" fontId="17" fillId="0" borderId="16" xfId="4" applyNumberFormat="1" applyFont="1" applyFill="1" applyBorder="1" applyAlignment="1">
      <alignment vertical="center"/>
    </xf>
    <xf numFmtId="3" fontId="18" fillId="10" borderId="15" xfId="4" applyNumberFormat="1" applyFont="1" applyFill="1" applyBorder="1" applyAlignment="1">
      <alignment vertical="center"/>
    </xf>
    <xf numFmtId="3" fontId="18" fillId="10" borderId="17" xfId="4" applyNumberFormat="1" applyFont="1" applyFill="1" applyBorder="1" applyAlignment="1">
      <alignment vertical="center"/>
    </xf>
    <xf numFmtId="0" fontId="17" fillId="10" borderId="49" xfId="38" applyFont="1" applyFill="1" applyBorder="1" applyAlignment="1">
      <alignment horizontal="center" vertical="center"/>
    </xf>
    <xf numFmtId="3" fontId="17" fillId="0" borderId="50" xfId="38" applyNumberFormat="1" applyFont="1" applyBorder="1" applyAlignment="1">
      <alignment horizontal="center" vertical="center"/>
    </xf>
    <xf numFmtId="3" fontId="17" fillId="0" borderId="50" xfId="4" applyNumberFormat="1" applyFont="1" applyBorder="1" applyAlignment="1">
      <alignment vertical="center"/>
    </xf>
    <xf numFmtId="164" fontId="17" fillId="0" borderId="51" xfId="38" applyNumberFormat="1" applyFont="1" applyBorder="1" applyAlignment="1">
      <alignment horizontal="center" vertical="center"/>
    </xf>
    <xf numFmtId="3" fontId="17" fillId="0" borderId="52" xfId="4" applyNumberFormat="1" applyFont="1" applyFill="1" applyBorder="1" applyAlignment="1">
      <alignment vertical="center"/>
    </xf>
    <xf numFmtId="3" fontId="18" fillId="10" borderId="51" xfId="4" applyNumberFormat="1" applyFont="1" applyFill="1" applyBorder="1" applyAlignment="1">
      <alignment vertical="center"/>
    </xf>
    <xf numFmtId="3" fontId="18" fillId="10" borderId="53" xfId="4" applyNumberFormat="1" applyFont="1" applyFill="1" applyBorder="1" applyAlignment="1">
      <alignment vertical="center"/>
    </xf>
    <xf numFmtId="0" fontId="17" fillId="10" borderId="54" xfId="38" applyFont="1" applyFill="1" applyBorder="1" applyAlignment="1">
      <alignment horizontal="center" vertical="center"/>
    </xf>
    <xf numFmtId="3" fontId="17" fillId="0" borderId="4" xfId="38" applyNumberFormat="1" applyFont="1" applyBorder="1" applyAlignment="1">
      <alignment horizontal="center" vertical="center"/>
    </xf>
    <xf numFmtId="3" fontId="17" fillId="0" borderId="4" xfId="4" applyNumberFormat="1" applyFont="1" applyBorder="1" applyAlignment="1">
      <alignment vertical="center"/>
    </xf>
    <xf numFmtId="3" fontId="17" fillId="0" borderId="20" xfId="4" applyNumberFormat="1" applyFont="1" applyFill="1" applyBorder="1" applyAlignment="1">
      <alignment vertical="center"/>
    </xf>
    <xf numFmtId="3" fontId="18" fillId="10" borderId="19" xfId="4" applyNumberFormat="1" applyFont="1" applyFill="1" applyBorder="1" applyAlignment="1">
      <alignment vertical="center"/>
    </xf>
    <xf numFmtId="3" fontId="18" fillId="10" borderId="21" xfId="4" applyNumberFormat="1" applyFont="1" applyFill="1" applyBorder="1" applyAlignment="1">
      <alignment vertical="center"/>
    </xf>
    <xf numFmtId="0" fontId="18" fillId="0" borderId="22" xfId="38" applyFont="1" applyBorder="1" applyAlignment="1">
      <alignment vertical="center"/>
    </xf>
    <xf numFmtId="3" fontId="17" fillId="0" borderId="37" xfId="4" applyNumberFormat="1" applyFont="1" applyFill="1" applyBorder="1" applyAlignment="1">
      <alignment vertical="center"/>
    </xf>
    <xf numFmtId="165" fontId="17" fillId="0" borderId="47" xfId="38" applyNumberFormat="1" applyFont="1" applyBorder="1" applyAlignment="1">
      <alignment horizontal="center" vertical="center"/>
    </xf>
    <xf numFmtId="3" fontId="17" fillId="0" borderId="56" xfId="4" applyNumberFormat="1" applyFont="1" applyFill="1" applyBorder="1" applyAlignment="1">
      <alignment vertical="center"/>
    </xf>
    <xf numFmtId="165" fontId="17" fillId="0" borderId="51" xfId="38" applyNumberFormat="1" applyFont="1" applyBorder="1" applyAlignment="1">
      <alignment horizontal="center" vertical="center"/>
    </xf>
    <xf numFmtId="3" fontId="18" fillId="10" borderId="29" xfId="4" applyNumberFormat="1" applyFont="1" applyFill="1" applyBorder="1" applyAlignment="1">
      <alignment vertical="center"/>
    </xf>
    <xf numFmtId="3" fontId="18" fillId="10" borderId="31" xfId="4" applyNumberFormat="1" applyFont="1" applyFill="1" applyBorder="1" applyAlignment="1">
      <alignment vertical="center"/>
    </xf>
    <xf numFmtId="3" fontId="18" fillId="10" borderId="47" xfId="4" applyNumberFormat="1" applyFont="1" applyFill="1" applyBorder="1" applyAlignment="1">
      <alignment vertical="center"/>
    </xf>
    <xf numFmtId="3" fontId="18" fillId="10" borderId="58" xfId="4" applyNumberFormat="1" applyFont="1" applyFill="1" applyBorder="1" applyAlignment="1">
      <alignment vertical="center"/>
    </xf>
    <xf numFmtId="165" fontId="17" fillId="0" borderId="29" xfId="38" applyNumberFormat="1" applyFont="1" applyBorder="1" applyAlignment="1">
      <alignment horizontal="center" vertical="center"/>
    </xf>
    <xf numFmtId="3" fontId="17" fillId="0" borderId="1" xfId="4" applyNumberFormat="1" applyFont="1" applyBorder="1" applyAlignment="1">
      <alignment vertical="center"/>
    </xf>
    <xf numFmtId="3" fontId="18" fillId="10" borderId="3" xfId="4" applyNumberFormat="1" applyFont="1" applyFill="1" applyBorder="1" applyAlignment="1">
      <alignment vertical="center"/>
    </xf>
    <xf numFmtId="3" fontId="18" fillId="10" borderId="34" xfId="4" applyNumberFormat="1" applyFont="1" applyFill="1" applyBorder="1" applyAlignment="1">
      <alignment vertical="center"/>
    </xf>
    <xf numFmtId="0" fontId="18" fillId="8" borderId="59" xfId="4" applyFont="1" applyFill="1" applyBorder="1" applyAlignment="1">
      <alignment horizontal="left" vertical="center" wrapText="1"/>
    </xf>
    <xf numFmtId="0" fontId="17" fillId="0" borderId="0" xfId="4" applyFont="1" applyAlignment="1"/>
    <xf numFmtId="0" fontId="20" fillId="0" borderId="0" xfId="4" applyFont="1"/>
    <xf numFmtId="0" fontId="18" fillId="0" borderId="0" xfId="4" applyFont="1" applyAlignment="1">
      <alignment horizontal="right"/>
    </xf>
    <xf numFmtId="0" fontId="21" fillId="0" borderId="0" xfId="4" applyFont="1"/>
    <xf numFmtId="0" fontId="21" fillId="0" borderId="0" xfId="4" applyFont="1" applyAlignment="1">
      <alignment horizontal="center" vertical="center" wrapText="1"/>
    </xf>
    <xf numFmtId="0" fontId="4" fillId="6" borderId="7" xfId="4" applyFill="1" applyBorder="1" applyAlignment="1">
      <alignment vertical="center"/>
    </xf>
    <xf numFmtId="0" fontId="4" fillId="6" borderId="4" xfId="4" applyFill="1" applyBorder="1" applyAlignment="1">
      <alignment vertical="center"/>
    </xf>
    <xf numFmtId="0" fontId="18" fillId="0" borderId="1" xfId="4" applyFont="1" applyBorder="1"/>
    <xf numFmtId="0" fontId="17" fillId="0" borderId="1" xfId="4" applyFont="1" applyBorder="1"/>
    <xf numFmtId="0" fontId="17" fillId="0" borderId="0" xfId="4" applyFont="1" applyBorder="1"/>
    <xf numFmtId="0" fontId="18" fillId="4" borderId="1" xfId="4" applyFont="1" applyFill="1" applyBorder="1" applyAlignment="1">
      <alignment horizontal="center" vertical="top" wrapText="1"/>
    </xf>
    <xf numFmtId="0" fontId="17" fillId="4" borderId="1" xfId="4" applyFont="1" applyFill="1" applyBorder="1" applyAlignment="1">
      <alignment horizontal="center" vertical="top" wrapText="1"/>
    </xf>
    <xf numFmtId="0" fontId="18" fillId="8" borderId="1" xfId="38" applyFont="1" applyFill="1" applyBorder="1" applyAlignment="1">
      <alignment horizontal="center" vertical="center"/>
    </xf>
    <xf numFmtId="3" fontId="17" fillId="0" borderId="28" xfId="4" applyNumberFormat="1" applyFont="1" applyBorder="1" applyAlignment="1">
      <alignment vertical="center"/>
    </xf>
    <xf numFmtId="3" fontId="17" fillId="0" borderId="7" xfId="4" applyNumberFormat="1" applyFont="1" applyBorder="1" applyAlignment="1">
      <alignment vertical="center"/>
    </xf>
    <xf numFmtId="3" fontId="17" fillId="0" borderId="32" xfId="4" applyNumberFormat="1" applyFont="1" applyBorder="1" applyAlignment="1">
      <alignment vertical="center"/>
    </xf>
    <xf numFmtId="3" fontId="17" fillId="0" borderId="35" xfId="4" applyNumberFormat="1" applyFont="1" applyBorder="1" applyAlignment="1">
      <alignment vertical="center"/>
    </xf>
    <xf numFmtId="3" fontId="17" fillId="0" borderId="36" xfId="4" applyNumberFormat="1" applyFont="1" applyBorder="1" applyAlignment="1">
      <alignment vertical="center"/>
    </xf>
    <xf numFmtId="0" fontId="18" fillId="0" borderId="1" xfId="4" applyFont="1" applyBorder="1" applyAlignment="1">
      <alignment vertical="center" wrapText="1"/>
    </xf>
    <xf numFmtId="3" fontId="17" fillId="0" borderId="1" xfId="4" applyNumberFormat="1" applyFont="1" applyBorder="1" applyAlignment="1">
      <alignment horizontal="center" vertical="center"/>
    </xf>
    <xf numFmtId="9" fontId="17" fillId="0" borderId="1" xfId="4" applyNumberFormat="1" applyFont="1" applyFill="1" applyBorder="1" applyAlignment="1">
      <alignment horizontal="center" vertical="center"/>
    </xf>
    <xf numFmtId="3" fontId="18" fillId="10" borderId="1" xfId="4" applyNumberFormat="1" applyFont="1" applyFill="1" applyBorder="1" applyAlignment="1">
      <alignment horizontal="center" vertical="center"/>
    </xf>
    <xf numFmtId="3" fontId="17" fillId="10" borderId="1" xfId="4" applyNumberFormat="1" applyFont="1" applyFill="1" applyBorder="1" applyAlignment="1">
      <alignment horizontal="center" vertical="center"/>
    </xf>
    <xf numFmtId="3" fontId="18" fillId="0" borderId="1" xfId="4" applyNumberFormat="1" applyFont="1" applyBorder="1" applyAlignment="1">
      <alignment horizontal="center" vertical="center"/>
    </xf>
    <xf numFmtId="4" fontId="18" fillId="10" borderId="1" xfId="4" applyNumberFormat="1" applyFont="1" applyFill="1" applyBorder="1" applyAlignment="1">
      <alignment horizontal="center" vertical="center"/>
    </xf>
    <xf numFmtId="3" fontId="18" fillId="0" borderId="1" xfId="4" applyNumberFormat="1" applyFont="1" applyFill="1" applyBorder="1" applyAlignment="1" applyProtection="1">
      <alignment horizontal="center" vertical="center"/>
      <protection locked="0"/>
    </xf>
    <xf numFmtId="3" fontId="17" fillId="0" borderId="1" xfId="4" applyNumberFormat="1" applyFont="1" applyBorder="1"/>
    <xf numFmtId="3" fontId="18" fillId="0" borderId="1" xfId="4" applyNumberFormat="1" applyFont="1" applyBorder="1"/>
    <xf numFmtId="3" fontId="17" fillId="0" borderId="0" xfId="4" applyNumberFormat="1" applyFont="1"/>
    <xf numFmtId="3" fontId="17" fillId="0" borderId="3" xfId="4" applyNumberFormat="1" applyFont="1" applyFill="1" applyBorder="1" applyAlignment="1">
      <alignment vertical="center"/>
    </xf>
    <xf numFmtId="0" fontId="18" fillId="0" borderId="57" xfId="38" applyFont="1" applyBorder="1" applyAlignment="1">
      <alignment horizontal="left" vertical="center" wrapText="1"/>
    </xf>
    <xf numFmtId="3" fontId="17" fillId="0" borderId="7" xfId="38" applyNumberFormat="1" applyFont="1" applyBorder="1" applyAlignment="1">
      <alignment horizontal="center" vertical="center"/>
    </xf>
    <xf numFmtId="3" fontId="17" fillId="0" borderId="30" xfId="4" applyNumberFormat="1" applyFont="1" applyFill="1" applyBorder="1" applyAlignment="1">
      <alignment vertical="center"/>
    </xf>
    <xf numFmtId="3" fontId="17" fillId="0" borderId="68" xfId="4" applyNumberFormat="1" applyFont="1" applyFill="1" applyBorder="1" applyAlignment="1">
      <alignment vertical="center"/>
    </xf>
    <xf numFmtId="3" fontId="17" fillId="0" borderId="5" xfId="38" applyNumberFormat="1" applyFont="1" applyBorder="1" applyAlignment="1">
      <alignment horizontal="right" vertical="center"/>
    </xf>
    <xf numFmtId="3" fontId="17" fillId="0" borderId="50" xfId="4" applyNumberFormat="1" applyFont="1" applyBorder="1" applyAlignment="1">
      <alignment horizontal="right" vertical="center"/>
    </xf>
    <xf numFmtId="3" fontId="17" fillId="0" borderId="4" xfId="4" applyNumberFormat="1" applyFont="1" applyBorder="1" applyAlignment="1">
      <alignment horizontal="right" vertical="center"/>
    </xf>
    <xf numFmtId="3" fontId="17" fillId="0" borderId="69" xfId="4" applyNumberFormat="1" applyFont="1" applyFill="1" applyBorder="1" applyAlignment="1">
      <alignment vertical="center"/>
    </xf>
    <xf numFmtId="3" fontId="17" fillId="0" borderId="50" xfId="4" applyNumberFormat="1" applyFont="1" applyBorder="1" applyAlignment="1">
      <alignment horizontal="center" vertical="center"/>
    </xf>
    <xf numFmtId="3" fontId="17" fillId="0" borderId="70" xfId="4" applyNumberFormat="1" applyFont="1" applyBorder="1" applyAlignment="1">
      <alignment horizontal="center" vertical="center"/>
    </xf>
    <xf numFmtId="3" fontId="17" fillId="0" borderId="70" xfId="4" applyNumberFormat="1" applyFont="1" applyBorder="1" applyAlignment="1">
      <alignment horizontal="right" vertical="center"/>
    </xf>
    <xf numFmtId="165" fontId="17" fillId="0" borderId="71" xfId="38" applyNumberFormat="1" applyFont="1" applyBorder="1" applyAlignment="1">
      <alignment horizontal="center" vertical="center"/>
    </xf>
    <xf numFmtId="0" fontId="17" fillId="4" borderId="5" xfId="4" quotePrefix="1" applyFont="1" applyFill="1" applyBorder="1" applyAlignment="1">
      <alignment horizontal="center" vertical="top" wrapText="1"/>
    </xf>
    <xf numFmtId="3" fontId="24" fillId="8" borderId="5" xfId="4" applyNumberFormat="1" applyFont="1" applyFill="1" applyBorder="1"/>
    <xf numFmtId="0" fontId="18" fillId="4" borderId="5" xfId="38" applyFont="1" applyFill="1" applyBorder="1" applyAlignment="1">
      <alignment horizontal="center" vertical="center" wrapText="1"/>
    </xf>
    <xf numFmtId="0" fontId="18" fillId="4" borderId="1" xfId="4" applyFont="1" applyFill="1" applyBorder="1" applyAlignment="1">
      <alignment horizontal="center" vertical="center"/>
    </xf>
    <xf numFmtId="0" fontId="17" fillId="4" borderId="1" xfId="4" applyFont="1" applyFill="1" applyBorder="1" applyAlignment="1">
      <alignment horizontal="center" vertical="center" wrapText="1"/>
    </xf>
    <xf numFmtId="0" fontId="18" fillId="4" borderId="1" xfId="4" applyFont="1" applyFill="1" applyBorder="1" applyAlignment="1">
      <alignment horizontal="center" vertical="center" wrapText="1"/>
    </xf>
    <xf numFmtId="0" fontId="18" fillId="4" borderId="22" xfId="4" quotePrefix="1" applyFont="1" applyFill="1" applyBorder="1" applyAlignment="1">
      <alignment horizontal="center" vertical="center" wrapText="1"/>
    </xf>
    <xf numFmtId="0" fontId="18" fillId="4" borderId="23" xfId="4" quotePrefix="1" applyFont="1" applyFill="1" applyBorder="1" applyAlignment="1">
      <alignment horizontal="center" vertical="center" wrapText="1"/>
    </xf>
    <xf numFmtId="0" fontId="18" fillId="4" borderId="24" xfId="4" quotePrefix="1" applyFont="1" applyFill="1" applyBorder="1" applyAlignment="1">
      <alignment horizontal="center" vertical="center" wrapText="1"/>
    </xf>
    <xf numFmtId="0" fontId="18" fillId="4" borderId="25" xfId="4" quotePrefix="1" applyFont="1" applyFill="1" applyBorder="1" applyAlignment="1">
      <alignment horizontal="center" vertical="center" wrapText="1"/>
    </xf>
    <xf numFmtId="0" fontId="18" fillId="4" borderId="26" xfId="4" quotePrefix="1" applyFont="1" applyFill="1" applyBorder="1" applyAlignment="1">
      <alignment horizontal="center" vertical="center" wrapText="1"/>
    </xf>
    <xf numFmtId="0" fontId="18" fillId="4" borderId="27" xfId="4" quotePrefix="1" applyFont="1" applyFill="1" applyBorder="1" applyAlignment="1">
      <alignment horizontal="center" vertical="center" wrapText="1"/>
    </xf>
    <xf numFmtId="165" fontId="17" fillId="0" borderId="19" xfId="38" applyNumberFormat="1" applyFont="1" applyBorder="1" applyAlignment="1">
      <alignment horizontal="center" vertical="center"/>
    </xf>
    <xf numFmtId="3" fontId="18" fillId="11" borderId="72" xfId="4" applyNumberFormat="1" applyFont="1" applyFill="1" applyBorder="1"/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17" fillId="14" borderId="1" xfId="4" applyFont="1" applyFill="1" applyBorder="1"/>
    <xf numFmtId="3" fontId="17" fillId="0" borderId="5" xfId="4" applyNumberFormat="1" applyFont="1" applyBorder="1"/>
    <xf numFmtId="3" fontId="18" fillId="7" borderId="1" xfId="4" applyNumberFormat="1" applyFont="1" applyFill="1" applyBorder="1"/>
    <xf numFmtId="3" fontId="18" fillId="0" borderId="0" xfId="4" applyNumberFormat="1" applyFont="1"/>
    <xf numFmtId="3" fontId="17" fillId="12" borderId="1" xfId="4" applyNumberFormat="1" applyFont="1" applyFill="1" applyBorder="1" applyAlignment="1">
      <alignment horizontal="center" vertical="center"/>
    </xf>
    <xf numFmtId="3" fontId="18" fillId="7" borderId="39" xfId="4" applyNumberFormat="1" applyFont="1" applyFill="1" applyBorder="1" applyAlignment="1">
      <alignment vertical="center"/>
    </xf>
    <xf numFmtId="0" fontId="19" fillId="7" borderId="55" xfId="38" applyFont="1" applyFill="1" applyBorder="1" applyAlignment="1">
      <alignment vertical="center"/>
    </xf>
    <xf numFmtId="0" fontId="19" fillId="7" borderId="23" xfId="38" applyFont="1" applyFill="1" applyBorder="1" applyAlignment="1">
      <alignment vertical="center"/>
    </xf>
    <xf numFmtId="0" fontId="17" fillId="7" borderId="10" xfId="4" applyFont="1" applyFill="1" applyBorder="1" applyAlignment="1">
      <alignment vertical="center"/>
    </xf>
    <xf numFmtId="0" fontId="19" fillId="7" borderId="25" xfId="38" applyFont="1" applyFill="1" applyBorder="1" applyAlignment="1">
      <alignment vertical="center"/>
    </xf>
    <xf numFmtId="0" fontId="18" fillId="15" borderId="62" xfId="4" applyFont="1" applyFill="1" applyBorder="1" applyAlignment="1">
      <alignment vertical="center"/>
    </xf>
    <xf numFmtId="3" fontId="18" fillId="15" borderId="63" xfId="4" applyNumberFormat="1" applyFont="1" applyFill="1" applyBorder="1" applyAlignment="1">
      <alignment vertical="center"/>
    </xf>
    <xf numFmtId="3" fontId="18" fillId="15" borderId="62" xfId="4" applyNumberFormat="1" applyFont="1" applyFill="1" applyBorder="1" applyAlignment="1">
      <alignment vertical="center"/>
    </xf>
    <xf numFmtId="3" fontId="18" fillId="15" borderId="64" xfId="4" applyNumberFormat="1" applyFont="1" applyFill="1" applyBorder="1" applyAlignment="1">
      <alignment vertical="center"/>
    </xf>
    <xf numFmtId="0" fontId="18" fillId="15" borderId="59" xfId="4" applyFont="1" applyFill="1" applyBorder="1" applyAlignment="1">
      <alignment horizontal="center" vertical="center" wrapText="1"/>
    </xf>
    <xf numFmtId="0" fontId="18" fillId="15" borderId="60" xfId="4" applyFont="1" applyFill="1" applyBorder="1" applyAlignment="1">
      <alignment horizontal="center" vertical="center" wrapText="1"/>
    </xf>
    <xf numFmtId="3" fontId="18" fillId="15" borderId="61" xfId="4" applyNumberFormat="1" applyFont="1" applyFill="1" applyBorder="1" applyAlignment="1">
      <alignment vertical="center"/>
    </xf>
    <xf numFmtId="3" fontId="18" fillId="7" borderId="37" xfId="4" applyNumberFormat="1" applyFont="1" applyFill="1" applyBorder="1" applyAlignment="1">
      <alignment vertical="center"/>
    </xf>
    <xf numFmtId="3" fontId="18" fillId="7" borderId="38" xfId="4" applyNumberFormat="1" applyFont="1" applyFill="1" applyBorder="1" applyAlignment="1">
      <alignment vertical="center"/>
    </xf>
    <xf numFmtId="0" fontId="18" fillId="0" borderId="59" xfId="38" applyFont="1" applyBorder="1" applyAlignment="1">
      <alignment vertical="center"/>
    </xf>
    <xf numFmtId="0" fontId="19" fillId="10" borderId="76" xfId="38" applyFont="1" applyFill="1" applyBorder="1" applyAlignment="1">
      <alignment vertical="center"/>
    </xf>
    <xf numFmtId="0" fontId="19" fillId="10" borderId="60" xfId="38" applyFont="1" applyFill="1" applyBorder="1" applyAlignment="1">
      <alignment vertical="center"/>
    </xf>
    <xf numFmtId="0" fontId="17" fillId="10" borderId="77" xfId="4" applyFont="1" applyFill="1" applyBorder="1" applyAlignment="1">
      <alignment vertical="center"/>
    </xf>
    <xf numFmtId="0" fontId="19" fillId="7" borderId="62" xfId="38" applyFont="1" applyFill="1" applyBorder="1" applyAlignment="1">
      <alignment vertical="center"/>
    </xf>
    <xf numFmtId="3" fontId="18" fillId="7" borderId="63" xfId="4" applyNumberFormat="1" applyFont="1" applyFill="1" applyBorder="1" applyAlignment="1">
      <alignment vertical="center"/>
    </xf>
    <xf numFmtId="3" fontId="18" fillId="7" borderId="62" xfId="4" applyNumberFormat="1" applyFont="1" applyFill="1" applyBorder="1" applyAlignment="1">
      <alignment vertical="center"/>
    </xf>
    <xf numFmtId="3" fontId="18" fillId="7" borderId="64" xfId="4" applyNumberFormat="1" applyFont="1" applyFill="1" applyBorder="1" applyAlignment="1">
      <alignment vertical="center"/>
    </xf>
    <xf numFmtId="164" fontId="17" fillId="0" borderId="29" xfId="38" applyNumberFormat="1" applyFont="1" applyBorder="1" applyAlignment="1">
      <alignment horizontal="center" vertical="center"/>
    </xf>
    <xf numFmtId="0" fontId="18" fillId="10" borderId="77" xfId="4" applyFont="1" applyFill="1" applyBorder="1" applyAlignment="1">
      <alignment vertical="center"/>
    </xf>
    <xf numFmtId="0" fontId="17" fillId="10" borderId="60" xfId="4" applyFont="1" applyFill="1" applyBorder="1" applyAlignment="1">
      <alignment vertical="center"/>
    </xf>
    <xf numFmtId="0" fontId="19" fillId="10" borderId="62" xfId="38" applyFont="1" applyFill="1" applyBorder="1" applyAlignment="1">
      <alignment vertical="center"/>
    </xf>
    <xf numFmtId="0" fontId="17" fillId="4" borderId="78" xfId="4" applyFont="1" applyFill="1" applyBorder="1"/>
    <xf numFmtId="0" fontId="17" fillId="4" borderId="44" xfId="4" applyFont="1" applyFill="1" applyBorder="1"/>
    <xf numFmtId="0" fontId="17" fillId="4" borderId="80" xfId="4" applyFont="1" applyFill="1" applyBorder="1"/>
    <xf numFmtId="0" fontId="17" fillId="4" borderId="1" xfId="4" applyFont="1" applyFill="1" applyBorder="1"/>
    <xf numFmtId="0" fontId="18" fillId="16" borderId="1" xfId="4" applyFont="1" applyFill="1" applyBorder="1" applyAlignment="1">
      <alignment horizontal="center" vertical="center" wrapText="1"/>
    </xf>
    <xf numFmtId="0" fontId="18" fillId="16" borderId="81" xfId="4" applyFont="1" applyFill="1" applyBorder="1" applyAlignment="1">
      <alignment horizontal="center" vertical="center" wrapText="1"/>
    </xf>
    <xf numFmtId="0" fontId="18" fillId="4" borderId="80" xfId="4" applyFont="1" applyFill="1" applyBorder="1" applyAlignment="1">
      <alignment horizontal="center" vertical="center" wrapText="1"/>
    </xf>
    <xf numFmtId="0" fontId="18" fillId="4" borderId="81" xfId="4" applyFont="1" applyFill="1" applyBorder="1" applyAlignment="1">
      <alignment horizontal="center" vertical="center" wrapText="1"/>
    </xf>
    <xf numFmtId="0" fontId="17" fillId="14" borderId="81" xfId="4" applyFont="1" applyFill="1" applyBorder="1"/>
    <xf numFmtId="3" fontId="17" fillId="0" borderId="80" xfId="4" applyNumberFormat="1" applyFont="1" applyBorder="1"/>
    <xf numFmtId="0" fontId="17" fillId="0" borderId="55" xfId="4" applyFont="1" applyBorder="1"/>
    <xf numFmtId="0" fontId="26" fillId="9" borderId="23" xfId="0" applyFont="1" applyFill="1" applyBorder="1" applyAlignment="1">
      <alignment horizontal="left" vertical="center"/>
    </xf>
    <xf numFmtId="3" fontId="18" fillId="9" borderId="23" xfId="4" applyNumberFormat="1" applyFont="1" applyFill="1" applyBorder="1"/>
    <xf numFmtId="3" fontId="18" fillId="9" borderId="82" xfId="4" applyNumberFormat="1" applyFont="1" applyFill="1" applyBorder="1"/>
    <xf numFmtId="3" fontId="18" fillId="9" borderId="55" xfId="4" applyNumberFormat="1" applyFont="1" applyFill="1" applyBorder="1"/>
    <xf numFmtId="3" fontId="0" fillId="0" borderId="0" xfId="0" applyNumberFormat="1"/>
    <xf numFmtId="166" fontId="0" fillId="0" borderId="0" xfId="0" applyNumberFormat="1"/>
    <xf numFmtId="3" fontId="18" fillId="0" borderId="5" xfId="4" applyNumberFormat="1" applyFont="1" applyBorder="1"/>
    <xf numFmtId="3" fontId="18" fillId="7" borderId="5" xfId="4" applyNumberFormat="1" applyFont="1" applyFill="1" applyBorder="1"/>
    <xf numFmtId="0" fontId="17" fillId="13" borderId="1" xfId="4" applyFont="1" applyFill="1" applyBorder="1"/>
    <xf numFmtId="3" fontId="17" fillId="13" borderId="1" xfId="4" applyNumberFormat="1" applyFont="1" applyFill="1" applyBorder="1"/>
    <xf numFmtId="0" fontId="17" fillId="13" borderId="46" xfId="38" applyFont="1" applyFill="1" applyBorder="1" applyAlignment="1">
      <alignment horizontal="center" vertical="center"/>
    </xf>
    <xf numFmtId="3" fontId="18" fillId="13" borderId="15" xfId="4" applyNumberFormat="1" applyFont="1" applyFill="1" applyBorder="1" applyAlignment="1">
      <alignment vertical="center"/>
    </xf>
    <xf numFmtId="3" fontId="18" fillId="13" borderId="17" xfId="4" applyNumberFormat="1" applyFont="1" applyFill="1" applyBorder="1" applyAlignment="1">
      <alignment vertical="center"/>
    </xf>
    <xf numFmtId="0" fontId="17" fillId="13" borderId="49" xfId="38" applyFont="1" applyFill="1" applyBorder="1" applyAlignment="1">
      <alignment horizontal="center" vertical="center"/>
    </xf>
    <xf numFmtId="3" fontId="17" fillId="13" borderId="50" xfId="38" applyNumberFormat="1" applyFont="1" applyFill="1" applyBorder="1" applyAlignment="1">
      <alignment horizontal="center" vertical="center"/>
    </xf>
    <xf numFmtId="3" fontId="17" fillId="13" borderId="50" xfId="4" applyNumberFormat="1" applyFont="1" applyFill="1" applyBorder="1" applyAlignment="1">
      <alignment vertical="center"/>
    </xf>
    <xf numFmtId="164" fontId="17" fillId="13" borderId="51" xfId="38" applyNumberFormat="1" applyFont="1" applyFill="1" applyBorder="1" applyAlignment="1">
      <alignment horizontal="center" vertical="center"/>
    </xf>
    <xf numFmtId="3" fontId="17" fillId="13" borderId="52" xfId="4" applyNumberFormat="1" applyFont="1" applyFill="1" applyBorder="1" applyAlignment="1">
      <alignment vertical="center"/>
    </xf>
    <xf numFmtId="3" fontId="18" fillId="13" borderId="51" xfId="4" applyNumberFormat="1" applyFont="1" applyFill="1" applyBorder="1" applyAlignment="1">
      <alignment vertical="center"/>
    </xf>
    <xf numFmtId="3" fontId="18" fillId="13" borderId="53" xfId="4" applyNumberFormat="1" applyFont="1" applyFill="1" applyBorder="1" applyAlignment="1">
      <alignment vertical="center"/>
    </xf>
    <xf numFmtId="3" fontId="17" fillId="13" borderId="7" xfId="38" applyNumberFormat="1" applyFont="1" applyFill="1" applyBorder="1" applyAlignment="1">
      <alignment horizontal="center" vertical="center"/>
    </xf>
    <xf numFmtId="3" fontId="17" fillId="13" borderId="7" xfId="4" applyNumberFormat="1" applyFont="1" applyFill="1" applyBorder="1" applyAlignment="1">
      <alignment vertical="center"/>
    </xf>
    <xf numFmtId="164" fontId="17" fillId="13" borderId="29" xfId="38" applyNumberFormat="1" applyFont="1" applyFill="1" applyBorder="1" applyAlignment="1">
      <alignment horizontal="center" vertical="center"/>
    </xf>
    <xf numFmtId="3" fontId="17" fillId="13" borderId="56" xfId="4" applyNumberFormat="1" applyFont="1" applyFill="1" applyBorder="1" applyAlignment="1">
      <alignment vertical="center"/>
    </xf>
    <xf numFmtId="3" fontId="18" fillId="13" borderId="29" xfId="4" applyNumberFormat="1" applyFont="1" applyFill="1" applyBorder="1" applyAlignment="1">
      <alignment vertical="center"/>
    </xf>
    <xf numFmtId="3" fontId="18" fillId="13" borderId="31" xfId="4" applyNumberFormat="1" applyFont="1" applyFill="1" applyBorder="1" applyAlignment="1">
      <alignment vertical="center"/>
    </xf>
    <xf numFmtId="3" fontId="17" fillId="13" borderId="83" xfId="38" applyNumberFormat="1" applyFont="1" applyFill="1" applyBorder="1" applyAlignment="1">
      <alignment horizontal="center" vertical="center"/>
    </xf>
    <xf numFmtId="3" fontId="17" fillId="13" borderId="84" xfId="4" applyNumberFormat="1" applyFont="1" applyFill="1" applyBorder="1" applyAlignment="1">
      <alignment vertical="center"/>
    </xf>
    <xf numFmtId="164" fontId="17" fillId="13" borderId="85" xfId="38" applyNumberFormat="1" applyFont="1" applyFill="1" applyBorder="1" applyAlignment="1">
      <alignment horizontal="center" vertical="center"/>
    </xf>
    <xf numFmtId="3" fontId="17" fillId="13" borderId="86" xfId="4" applyNumberFormat="1" applyFont="1" applyFill="1" applyBorder="1" applyAlignment="1">
      <alignment vertical="center"/>
    </xf>
    <xf numFmtId="0" fontId="17" fillId="0" borderId="29" xfId="4" applyFont="1" applyBorder="1"/>
    <xf numFmtId="0" fontId="18" fillId="13" borderId="0" xfId="4" applyFont="1" applyFill="1"/>
    <xf numFmtId="0" fontId="17" fillId="13" borderId="0" xfId="4" applyFont="1" applyFill="1"/>
    <xf numFmtId="3" fontId="17" fillId="13" borderId="0" xfId="4" applyNumberFormat="1" applyFont="1" applyFill="1"/>
    <xf numFmtId="3" fontId="18" fillId="13" borderId="0" xfId="4" applyNumberFormat="1" applyFont="1" applyFill="1"/>
    <xf numFmtId="0" fontId="18" fillId="13" borderId="1" xfId="4" applyFont="1" applyFill="1" applyBorder="1"/>
    <xf numFmtId="0" fontId="18" fillId="13" borderId="1" xfId="4" applyFont="1" applyFill="1" applyBorder="1" applyAlignment="1">
      <alignment horizontal="center" wrapText="1"/>
    </xf>
    <xf numFmtId="0" fontId="26" fillId="13" borderId="1" xfId="0" applyFont="1" applyFill="1" applyBorder="1" applyAlignment="1">
      <alignment horizontal="center" wrapText="1"/>
    </xf>
    <xf numFmtId="0" fontId="17" fillId="13" borderId="1" xfId="4" applyFont="1" applyFill="1" applyBorder="1" applyAlignment="1">
      <alignment horizontal="right"/>
    </xf>
    <xf numFmtId="0" fontId="17" fillId="13" borderId="1" xfId="38" applyFont="1" applyFill="1" applyBorder="1" applyAlignment="1">
      <alignment horizontal="right" vertical="center"/>
    </xf>
    <xf numFmtId="0" fontId="17" fillId="13" borderId="1" xfId="4" applyFont="1" applyFill="1" applyBorder="1" applyAlignment="1">
      <alignment horizontal="right" vertical="center"/>
    </xf>
    <xf numFmtId="0" fontId="18" fillId="13" borderId="1" xfId="4" applyFont="1" applyFill="1" applyBorder="1" applyAlignment="1">
      <alignment horizontal="right"/>
    </xf>
    <xf numFmtId="3" fontId="18" fillId="13" borderId="1" xfId="4" applyNumberFormat="1" applyFont="1" applyFill="1" applyBorder="1"/>
    <xf numFmtId="0" fontId="18" fillId="4" borderId="1" xfId="4" applyFont="1" applyFill="1" applyBorder="1" applyAlignment="1">
      <alignment horizontal="center" vertical="center" wrapText="1"/>
    </xf>
    <xf numFmtId="3" fontId="17" fillId="0" borderId="29" xfId="4" applyNumberFormat="1" applyFont="1" applyBorder="1"/>
    <xf numFmtId="0" fontId="14" fillId="0" borderId="0" xfId="4" applyFont="1" applyBorder="1" applyAlignment="1">
      <alignment horizontal="center" vertical="center" wrapText="1"/>
    </xf>
    <xf numFmtId="0" fontId="16" fillId="0" borderId="0" xfId="4" applyFont="1" applyBorder="1" applyAlignment="1">
      <alignment horizontal="center" vertical="center" wrapText="1"/>
    </xf>
    <xf numFmtId="0" fontId="18" fillId="4" borderId="11" xfId="4" applyFont="1" applyFill="1" applyBorder="1" applyAlignment="1">
      <alignment horizontal="center" vertical="center" wrapText="1"/>
    </xf>
    <xf numFmtId="0" fontId="4" fillId="4" borderId="18" xfId="4" applyFill="1" applyBorder="1" applyAlignment="1"/>
    <xf numFmtId="0" fontId="18" fillId="4" borderId="12" xfId="4" applyFont="1" applyFill="1" applyBorder="1" applyAlignment="1">
      <alignment horizontal="center" vertical="center" wrapText="1"/>
    </xf>
    <xf numFmtId="0" fontId="4" fillId="4" borderId="13" xfId="4" applyFill="1" applyBorder="1" applyAlignment="1">
      <alignment horizontal="center" vertical="center" wrapText="1"/>
    </xf>
    <xf numFmtId="0" fontId="18" fillId="4" borderId="14" xfId="4" applyFont="1" applyFill="1" applyBorder="1" applyAlignment="1">
      <alignment horizontal="center" vertical="center" wrapText="1"/>
    </xf>
    <xf numFmtId="0" fontId="4" fillId="4" borderId="4" xfId="4" applyFill="1" applyBorder="1" applyAlignment="1"/>
    <xf numFmtId="0" fontId="18" fillId="4" borderId="15" xfId="4" applyFont="1" applyFill="1" applyBorder="1" applyAlignment="1">
      <alignment horizontal="center" vertical="center" wrapText="1"/>
    </xf>
    <xf numFmtId="0" fontId="4" fillId="4" borderId="19" xfId="4" applyFill="1" applyBorder="1" applyAlignment="1"/>
    <xf numFmtId="0" fontId="18" fillId="4" borderId="16" xfId="4" applyFont="1" applyFill="1" applyBorder="1" applyAlignment="1">
      <alignment horizontal="center" vertical="center" wrapText="1"/>
    </xf>
    <xf numFmtId="0" fontId="4" fillId="4" borderId="20" xfId="4" applyFill="1" applyBorder="1" applyAlignment="1"/>
    <xf numFmtId="0" fontId="18" fillId="4" borderId="17" xfId="4" applyFont="1" applyFill="1" applyBorder="1" applyAlignment="1">
      <alignment horizontal="center" vertical="center" wrapText="1"/>
    </xf>
    <xf numFmtId="0" fontId="4" fillId="4" borderId="21" xfId="4" applyFill="1" applyBorder="1" applyAlignment="1"/>
    <xf numFmtId="0" fontId="17" fillId="0" borderId="0" xfId="4" applyFont="1" applyAlignment="1">
      <alignment horizontal="center" vertical="center"/>
    </xf>
    <xf numFmtId="0" fontId="18" fillId="13" borderId="11" xfId="38" applyFont="1" applyFill="1" applyBorder="1" applyAlignment="1">
      <alignment horizontal="left" vertical="center" wrapText="1"/>
    </xf>
    <xf numFmtId="0" fontId="4" fillId="13" borderId="48" xfId="4" applyFill="1" applyBorder="1" applyAlignment="1">
      <alignment horizontal="left" vertical="center"/>
    </xf>
    <xf numFmtId="0" fontId="18" fillId="0" borderId="11" xfId="38" applyFont="1" applyBorder="1" applyAlignment="1">
      <alignment horizontal="left" vertical="center" wrapText="1"/>
    </xf>
    <xf numFmtId="0" fontId="4" fillId="0" borderId="48" xfId="4" applyBorder="1" applyAlignment="1">
      <alignment horizontal="left" vertical="center"/>
    </xf>
    <xf numFmtId="0" fontId="18" fillId="0" borderId="57" xfId="38" applyFont="1" applyBorder="1" applyAlignment="1">
      <alignment horizontal="left" vertical="center" wrapText="1"/>
    </xf>
    <xf numFmtId="0" fontId="4" fillId="0" borderId="18" xfId="4" applyBorder="1" applyAlignment="1">
      <alignment horizontal="left" vertical="center"/>
    </xf>
    <xf numFmtId="0" fontId="20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18" fillId="16" borderId="44" xfId="4" applyFont="1" applyFill="1" applyBorder="1" applyAlignment="1">
      <alignment horizontal="center" vertical="center" wrapText="1"/>
    </xf>
    <xf numFmtId="0" fontId="4" fillId="16" borderId="44" xfId="4" applyFill="1" applyBorder="1" applyAlignment="1">
      <alignment horizontal="center" vertical="center" wrapText="1"/>
    </xf>
    <xf numFmtId="0" fontId="4" fillId="16" borderId="79" xfId="4" applyFill="1" applyBorder="1" applyAlignment="1">
      <alignment horizontal="center" vertical="center" wrapText="1"/>
    </xf>
    <xf numFmtId="0" fontId="4" fillId="16" borderId="1" xfId="4" applyFill="1" applyBorder="1" applyAlignment="1">
      <alignment horizontal="center" vertical="center" wrapText="1"/>
    </xf>
    <xf numFmtId="0" fontId="4" fillId="16" borderId="81" xfId="4" applyFill="1" applyBorder="1" applyAlignment="1">
      <alignment horizontal="center" vertical="center" wrapText="1"/>
    </xf>
    <xf numFmtId="0" fontId="18" fillId="4" borderId="78" xfId="4" applyFont="1" applyFill="1" applyBorder="1" applyAlignment="1">
      <alignment horizontal="center" vertical="center" wrapText="1"/>
    </xf>
    <xf numFmtId="0" fontId="4" fillId="4" borderId="44" xfId="4" applyFill="1" applyBorder="1" applyAlignment="1">
      <alignment horizontal="center" vertical="center" wrapText="1"/>
    </xf>
    <xf numFmtId="0" fontId="4" fillId="4" borderId="79" xfId="4" applyFill="1" applyBorder="1" applyAlignment="1">
      <alignment horizontal="center" vertical="center" wrapText="1"/>
    </xf>
    <xf numFmtId="0" fontId="4" fillId="4" borderId="80" xfId="4" applyFill="1" applyBorder="1" applyAlignment="1">
      <alignment horizontal="center" vertical="center" wrapText="1"/>
    </xf>
    <xf numFmtId="0" fontId="4" fillId="4" borderId="1" xfId="4" applyFill="1" applyBorder="1" applyAlignment="1">
      <alignment horizontal="center" vertical="center" wrapText="1"/>
    </xf>
    <xf numFmtId="0" fontId="4" fillId="4" borderId="81" xfId="4" applyFill="1" applyBorder="1" applyAlignment="1">
      <alignment horizontal="center" vertical="center" wrapText="1"/>
    </xf>
    <xf numFmtId="0" fontId="18" fillId="4" borderId="80" xfId="4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80" xfId="4" applyFont="1" applyBorder="1" applyAlignment="1">
      <alignment horizontal="center" vertical="center" textRotation="90"/>
    </xf>
    <xf numFmtId="0" fontId="25" fillId="0" borderId="80" xfId="0" applyFont="1" applyBorder="1" applyAlignment="1">
      <alignment horizontal="center" vertical="center" textRotation="90"/>
    </xf>
    <xf numFmtId="3" fontId="18" fillId="5" borderId="73" xfId="4" applyNumberFormat="1" applyFont="1" applyFill="1" applyBorder="1" applyAlignment="1">
      <alignment horizontal="left" vertical="top" wrapText="1"/>
    </xf>
    <xf numFmtId="3" fontId="4" fillId="5" borderId="74" xfId="4" applyNumberFormat="1" applyFill="1" applyBorder="1" applyAlignment="1">
      <alignment horizontal="left" wrapText="1"/>
    </xf>
    <xf numFmtId="3" fontId="4" fillId="5" borderId="75" xfId="4" applyNumberFormat="1" applyFill="1" applyBorder="1" applyAlignment="1">
      <alignment horizontal="left" wrapText="1"/>
    </xf>
    <xf numFmtId="0" fontId="20" fillId="4" borderId="47" xfId="4" applyFont="1" applyFill="1" applyBorder="1" applyAlignment="1">
      <alignment horizontal="center" vertical="top" wrapText="1"/>
    </xf>
    <xf numFmtId="0" fontId="23" fillId="4" borderId="8" xfId="4" applyFont="1" applyFill="1" applyBorder="1" applyAlignment="1">
      <alignment horizontal="center" vertical="top"/>
    </xf>
    <xf numFmtId="0" fontId="23" fillId="4" borderId="65" xfId="4" applyFont="1" applyFill="1" applyBorder="1" applyAlignment="1">
      <alignment horizontal="center" vertical="top"/>
    </xf>
    <xf numFmtId="0" fontId="23" fillId="4" borderId="29" xfId="4" applyFont="1" applyFill="1" applyBorder="1" applyAlignment="1">
      <alignment horizontal="center" vertical="top"/>
    </xf>
    <xf numFmtId="0" fontId="23" fillId="4" borderId="66" xfId="4" applyFont="1" applyFill="1" applyBorder="1" applyAlignment="1">
      <alignment horizontal="center" vertical="top"/>
    </xf>
    <xf numFmtId="0" fontId="23" fillId="4" borderId="67" xfId="4" applyFont="1" applyFill="1" applyBorder="1" applyAlignment="1">
      <alignment horizontal="center" vertical="top"/>
    </xf>
    <xf numFmtId="0" fontId="18" fillId="4" borderId="5" xfId="4" applyFont="1" applyFill="1" applyBorder="1" applyAlignment="1">
      <alignment horizontal="center" vertical="top" wrapText="1"/>
    </xf>
    <xf numFmtId="0" fontId="0" fillId="0" borderId="4" xfId="0" applyBorder="1" applyAlignment="1"/>
    <xf numFmtId="0" fontId="18" fillId="4" borderId="9" xfId="4" applyFont="1" applyFill="1" applyBorder="1" applyAlignment="1">
      <alignment horizontal="center" vertical="center"/>
    </xf>
    <xf numFmtId="0" fontId="22" fillId="4" borderId="9" xfId="4" applyFont="1" applyFill="1" applyBorder="1" applyAlignment="1">
      <alignment horizontal="center" vertical="center"/>
    </xf>
    <xf numFmtId="0" fontId="22" fillId="4" borderId="2" xfId="4" applyFont="1" applyFill="1" applyBorder="1" applyAlignment="1">
      <alignment horizontal="center" vertical="center"/>
    </xf>
    <xf numFmtId="0" fontId="18" fillId="4" borderId="5" xfId="4" applyFont="1" applyFill="1" applyBorder="1" applyAlignment="1">
      <alignment horizontal="center" vertical="center" wrapText="1"/>
    </xf>
    <xf numFmtId="0" fontId="22" fillId="4" borderId="4" xfId="4" applyFont="1" applyFill="1" applyBorder="1" applyAlignment="1">
      <alignment horizontal="center" wrapText="1"/>
    </xf>
    <xf numFmtId="0" fontId="18" fillId="5" borderId="73" xfId="4" applyFont="1" applyFill="1" applyBorder="1" applyAlignment="1">
      <alignment horizontal="left" vertical="top" wrapText="1"/>
    </xf>
    <xf numFmtId="0" fontId="4" fillId="5" borderId="74" xfId="4" applyFill="1" applyBorder="1" applyAlignment="1">
      <alignment horizontal="left" wrapText="1"/>
    </xf>
    <xf numFmtId="0" fontId="4" fillId="5" borderId="75" xfId="4" applyFill="1" applyBorder="1" applyAlignment="1">
      <alignment horizontal="left" wrapText="1"/>
    </xf>
    <xf numFmtId="0" fontId="28" fillId="0" borderId="0" xfId="4" applyFont="1"/>
    <xf numFmtId="0" fontId="29" fillId="0" borderId="0" xfId="4" applyFont="1" applyAlignment="1">
      <alignment horizontal="right"/>
    </xf>
    <xf numFmtId="0" fontId="4" fillId="0" borderId="0" xfId="4"/>
    <xf numFmtId="0" fontId="18" fillId="4" borderId="1" xfId="4" applyFont="1" applyFill="1" applyBorder="1" applyAlignment="1">
      <alignment horizontal="center" vertical="center" wrapText="1"/>
    </xf>
    <xf numFmtId="0" fontId="18" fillId="4" borderId="3" xfId="4" applyFont="1" applyFill="1" applyBorder="1" applyAlignment="1">
      <alignment horizontal="center" vertical="center" wrapText="1"/>
    </xf>
    <xf numFmtId="0" fontId="4" fillId="4" borderId="9" xfId="4" applyFill="1" applyBorder="1" applyAlignment="1">
      <alignment horizontal="center" vertical="center" wrapText="1"/>
    </xf>
    <xf numFmtId="0" fontId="4" fillId="4" borderId="2" xfId="4" applyFill="1" applyBorder="1" applyAlignment="1">
      <alignment horizontal="center" vertical="center" wrapText="1"/>
    </xf>
    <xf numFmtId="0" fontId="30" fillId="0" borderId="0" xfId="4" applyFont="1"/>
    <xf numFmtId="0" fontId="17" fillId="4" borderId="7" xfId="4" applyFont="1" applyFill="1" applyBorder="1" applyAlignment="1">
      <alignment horizontal="center" vertical="center" wrapText="1"/>
    </xf>
    <xf numFmtId="0" fontId="4" fillId="4" borderId="7" xfId="4" applyFill="1" applyBorder="1" applyAlignment="1">
      <alignment horizontal="center" vertical="center" wrapText="1"/>
    </xf>
    <xf numFmtId="0" fontId="18" fillId="4" borderId="7" xfId="4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0" fillId="0" borderId="0" xfId="4" applyFont="1" applyAlignment="1">
      <alignment horizontal="center" vertical="center" wrapText="1"/>
    </xf>
    <xf numFmtId="0" fontId="22" fillId="4" borderId="4" xfId="4" applyFont="1" applyFill="1" applyBorder="1" applyAlignment="1">
      <alignment horizontal="center" vertical="center" wrapText="1"/>
    </xf>
    <xf numFmtId="0" fontId="4" fillId="4" borderId="4" xfId="4" applyFill="1" applyBorder="1" applyAlignment="1">
      <alignment horizontal="center" vertical="center" wrapText="1"/>
    </xf>
    <xf numFmtId="0" fontId="18" fillId="4" borderId="4" xfId="4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4" borderId="2" xfId="4" applyFont="1" applyFill="1" applyBorder="1" applyAlignment="1">
      <alignment horizontal="center" vertical="center" wrapText="1"/>
    </xf>
    <xf numFmtId="3" fontId="18" fillId="4" borderId="2" xfId="4" applyNumberFormat="1" applyFont="1" applyFill="1" applyBorder="1" applyAlignment="1">
      <alignment horizontal="center" vertical="center" wrapText="1"/>
    </xf>
    <xf numFmtId="3" fontId="17" fillId="4" borderId="1" xfId="4" applyNumberFormat="1" applyFont="1" applyFill="1" applyBorder="1" applyAlignment="1">
      <alignment horizontal="center" vertical="center" wrapText="1"/>
    </xf>
    <xf numFmtId="3" fontId="18" fillId="4" borderId="1" xfId="4" applyNumberFormat="1" applyFont="1" applyFill="1" applyBorder="1" applyAlignment="1">
      <alignment horizontal="center" vertical="center" wrapText="1"/>
    </xf>
    <xf numFmtId="0" fontId="17" fillId="14" borderId="1" xfId="4" applyFont="1" applyFill="1" applyBorder="1" applyAlignment="1">
      <alignment horizontal="center"/>
    </xf>
    <xf numFmtId="3" fontId="17" fillId="14" borderId="1" xfId="4" applyNumberFormat="1" applyFont="1" applyFill="1" applyBorder="1"/>
    <xf numFmtId="3" fontId="17" fillId="14" borderId="1" xfId="4" applyNumberFormat="1" applyFont="1" applyFill="1" applyBorder="1" applyAlignment="1">
      <alignment horizontal="right"/>
    </xf>
    <xf numFmtId="3" fontId="18" fillId="14" borderId="1" xfId="4" applyNumberFormat="1" applyFont="1" applyFill="1" applyBorder="1" applyAlignment="1">
      <alignment horizontal="right"/>
    </xf>
    <xf numFmtId="3" fontId="17" fillId="17" borderId="1" xfId="4" applyNumberFormat="1" applyFont="1" applyFill="1" applyBorder="1" applyAlignment="1">
      <alignment horizontal="right"/>
    </xf>
    <xf numFmtId="3" fontId="18" fillId="17" borderId="1" xfId="4" applyNumberFormat="1" applyFont="1" applyFill="1" applyBorder="1" applyAlignment="1">
      <alignment horizontal="right"/>
    </xf>
    <xf numFmtId="3" fontId="18" fillId="0" borderId="1" xfId="4" applyNumberFormat="1" applyFont="1" applyFill="1" applyBorder="1"/>
    <xf numFmtId="0" fontId="17" fillId="3" borderId="1" xfId="4" applyFont="1" applyFill="1" applyBorder="1" applyAlignment="1">
      <alignment horizontal="center"/>
    </xf>
    <xf numFmtId="0" fontId="17" fillId="3" borderId="1" xfId="4" applyFont="1" applyFill="1" applyBorder="1" applyAlignment="1">
      <alignment wrapText="1"/>
    </xf>
    <xf numFmtId="3" fontId="17" fillId="17" borderId="1" xfId="4" applyNumberFormat="1" applyFont="1" applyFill="1" applyBorder="1"/>
    <xf numFmtId="3" fontId="18" fillId="0" borderId="1" xfId="4" applyNumberFormat="1" applyFont="1" applyFill="1" applyBorder="1" applyAlignment="1">
      <alignment horizontal="right"/>
    </xf>
    <xf numFmtId="0" fontId="17" fillId="3" borderId="1" xfId="4" applyFont="1" applyFill="1" applyBorder="1"/>
    <xf numFmtId="3" fontId="17" fillId="0" borderId="1" xfId="4" applyNumberFormat="1" applyFont="1" applyFill="1" applyBorder="1" applyAlignment="1">
      <alignment horizontal="right"/>
    </xf>
    <xf numFmtId="3" fontId="4" fillId="0" borderId="0" xfId="4" applyNumberFormat="1"/>
    <xf numFmtId="0" fontId="17" fillId="3" borderId="5" xfId="4" applyFont="1" applyFill="1" applyBorder="1" applyAlignment="1">
      <alignment horizontal="left" vertical="center" wrapText="1"/>
    </xf>
    <xf numFmtId="0" fontId="17" fillId="3" borderId="1" xfId="4" quotePrefix="1" applyFont="1" applyFill="1" applyBorder="1" applyAlignment="1">
      <alignment horizontal="left" vertical="center" wrapText="1"/>
    </xf>
    <xf numFmtId="3" fontId="18" fillId="6" borderId="1" xfId="4" applyNumberFormat="1" applyFont="1" applyFill="1" applyBorder="1" applyAlignment="1">
      <alignment horizontal="right"/>
    </xf>
    <xf numFmtId="0" fontId="17" fillId="3" borderId="3" xfId="4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 vertical="center"/>
    </xf>
    <xf numFmtId="0" fontId="18" fillId="3" borderId="1" xfId="4" applyFont="1" applyFill="1" applyBorder="1" applyAlignment="1">
      <alignment vertical="center"/>
    </xf>
    <xf numFmtId="3" fontId="18" fillId="17" borderId="1" xfId="4" applyNumberFormat="1" applyFont="1" applyFill="1" applyBorder="1" applyAlignment="1">
      <alignment vertical="center"/>
    </xf>
    <xf numFmtId="0" fontId="31" fillId="0" borderId="0" xfId="4" applyFont="1"/>
    <xf numFmtId="3" fontId="28" fillId="0" borderId="0" xfId="4" applyNumberFormat="1" applyFont="1"/>
    <xf numFmtId="0" fontId="28" fillId="0" borderId="0" xfId="4" applyFont="1" applyBorder="1"/>
    <xf numFmtId="3" fontId="28" fillId="0" borderId="0" xfId="4" applyNumberFormat="1" applyFont="1" applyBorder="1" applyAlignment="1">
      <alignment horizontal="right"/>
    </xf>
    <xf numFmtId="3" fontId="29" fillId="0" borderId="0" xfId="4" applyNumberFormat="1" applyFont="1" applyBorder="1" applyAlignment="1">
      <alignment horizontal="right"/>
    </xf>
    <xf numFmtId="0" fontId="29" fillId="0" borderId="0" xfId="4" applyFont="1" applyBorder="1"/>
    <xf numFmtId="0" fontId="29" fillId="0" borderId="0" xfId="4" applyFont="1"/>
    <xf numFmtId="0" fontId="20" fillId="0" borderId="0" xfId="4" quotePrefix="1" applyFont="1"/>
    <xf numFmtId="0" fontId="18" fillId="4" borderId="47" xfId="4" applyFont="1" applyFill="1" applyBorder="1" applyAlignment="1">
      <alignment horizontal="center" vertical="center" wrapText="1"/>
    </xf>
    <xf numFmtId="0" fontId="17" fillId="4" borderId="8" xfId="4" applyFont="1" applyFill="1" applyBorder="1" applyAlignment="1">
      <alignment horizontal="center" vertical="center" wrapText="1"/>
    </xf>
    <xf numFmtId="0" fontId="17" fillId="4" borderId="65" xfId="4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 vertical="center" wrapText="1"/>
    </xf>
    <xf numFmtId="0" fontId="4" fillId="4" borderId="65" xfId="4" applyFill="1" applyBorder="1" applyAlignment="1">
      <alignment horizontal="center" vertical="center" wrapText="1"/>
    </xf>
    <xf numFmtId="0" fontId="17" fillId="4" borderId="19" xfId="4" applyFont="1" applyFill="1" applyBorder="1" applyAlignment="1">
      <alignment horizontal="center" vertical="center" wrapText="1"/>
    </xf>
    <xf numFmtId="0" fontId="17" fillId="4" borderId="66" xfId="4" applyFont="1" applyFill="1" applyBorder="1" applyAlignment="1">
      <alignment horizontal="center" vertical="center" wrapText="1"/>
    </xf>
    <xf numFmtId="0" fontId="17" fillId="4" borderId="67" xfId="4" applyFont="1" applyFill="1" applyBorder="1" applyAlignment="1">
      <alignment horizontal="center" vertical="center" wrapText="1"/>
    </xf>
    <xf numFmtId="0" fontId="4" fillId="4" borderId="19" xfId="4" applyFill="1" applyBorder="1" applyAlignment="1">
      <alignment horizontal="center" vertical="center" wrapText="1"/>
    </xf>
    <xf numFmtId="0" fontId="4" fillId="4" borderId="66" xfId="4" applyFill="1" applyBorder="1" applyAlignment="1">
      <alignment horizontal="center" vertical="center" wrapText="1"/>
    </xf>
    <xf numFmtId="0" fontId="4" fillId="4" borderId="67" xfId="4" applyFill="1" applyBorder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7" fillId="4" borderId="4" xfId="4" applyFont="1" applyFill="1" applyBorder="1" applyAlignment="1">
      <alignment horizontal="center" vertical="center" wrapText="1"/>
    </xf>
    <xf numFmtId="0" fontId="18" fillId="3" borderId="1" xfId="4" applyFont="1" applyFill="1" applyBorder="1" applyAlignment="1">
      <alignment horizontal="center"/>
    </xf>
    <xf numFmtId="0" fontId="18" fillId="3" borderId="1" xfId="4" applyFont="1" applyFill="1" applyBorder="1"/>
    <xf numFmtId="3" fontId="18" fillId="3" borderId="1" xfId="4" applyNumberFormat="1" applyFont="1" applyFill="1" applyBorder="1" applyAlignment="1">
      <alignment horizontal="right"/>
    </xf>
    <xf numFmtId="0" fontId="18" fillId="3" borderId="1" xfId="4" applyFont="1" applyFill="1" applyBorder="1" applyAlignment="1" applyProtection="1">
      <alignment horizontal="center"/>
      <protection locked="0"/>
    </xf>
    <xf numFmtId="3" fontId="18" fillId="0" borderId="1" xfId="4" applyNumberFormat="1" applyFont="1" applyFill="1" applyBorder="1" applyAlignment="1" applyProtection="1">
      <alignment horizontal="right"/>
      <protection locked="0"/>
    </xf>
    <xf numFmtId="0" fontId="18" fillId="3" borderId="1" xfId="4" applyFont="1" applyFill="1" applyBorder="1" applyAlignment="1"/>
    <xf numFmtId="3" fontId="17" fillId="0" borderId="0" xfId="4" applyNumberFormat="1" applyFont="1" applyBorder="1" applyAlignment="1">
      <alignment horizontal="right"/>
    </xf>
    <xf numFmtId="3" fontId="18" fillId="0" borderId="0" xfId="4" applyNumberFormat="1" applyFont="1" applyBorder="1" applyAlignment="1">
      <alignment horizontal="right"/>
    </xf>
    <xf numFmtId="0" fontId="18" fillId="0" borderId="0" xfId="4" applyFont="1" applyBorder="1"/>
  </cellXfs>
  <cellStyles count="43">
    <cellStyle name="Ezres 2" xfId="10"/>
    <cellStyle name="Ezres 2 2" xfId="11"/>
    <cellStyle name="Ezres 3" xfId="25"/>
    <cellStyle name="Ezres 4" xfId="26"/>
    <cellStyle name="Ezres 5" xfId="37"/>
    <cellStyle name="headerStyle" xfId="2"/>
    <cellStyle name="headerStyle 2" xfId="6"/>
    <cellStyle name="Normál" xfId="0" builtinId="0"/>
    <cellStyle name="Normál 10" xfId="12"/>
    <cellStyle name="Normál 11" xfId="13"/>
    <cellStyle name="Normál 12" xfId="14"/>
    <cellStyle name="Normál 13" xfId="15"/>
    <cellStyle name="Normál 14" xfId="7"/>
    <cellStyle name="Normál 15" xfId="24"/>
    <cellStyle name="Normál 16" xfId="27"/>
    <cellStyle name="Normál 16 2" xfId="32"/>
    <cellStyle name="Normál 17" xfId="28"/>
    <cellStyle name="Normál 17 2" xfId="38"/>
    <cellStyle name="Normál 18" xfId="29"/>
    <cellStyle name="Normál 18 2" xfId="40"/>
    <cellStyle name="Normál 19" xfId="33"/>
    <cellStyle name="Normál 19 2" xfId="41"/>
    <cellStyle name="Normál 2" xfId="1"/>
    <cellStyle name="Normál 2 2" xfId="5"/>
    <cellStyle name="Normál 2 2 2" xfId="31"/>
    <cellStyle name="Normál 2 3" xfId="34"/>
    <cellStyle name="Normál 3" xfId="3"/>
    <cellStyle name="Normál 3 2" xfId="16"/>
    <cellStyle name="Normál 3 3" xfId="9"/>
    <cellStyle name="Normál 3 4" xfId="30"/>
    <cellStyle name="Normál 3 5" xfId="42"/>
    <cellStyle name="Normál 4" xfId="4"/>
    <cellStyle name="Normál 4 2" xfId="8"/>
    <cellStyle name="Normál 5" xfId="17"/>
    <cellStyle name="Normál 6" xfId="18"/>
    <cellStyle name="Normál 7" xfId="19"/>
    <cellStyle name="Normál 8" xfId="20"/>
    <cellStyle name="Normál 9" xfId="21"/>
    <cellStyle name="Pénznem 2" xfId="36"/>
    <cellStyle name="Százalék 2" xfId="22"/>
    <cellStyle name="Százalék 2 2" xfId="35"/>
    <cellStyle name="Százalék 2 2 2" xfId="39"/>
    <cellStyle name="Százalék 3" xfId="2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CC"/>
      <color rgb="FFFFFFEB"/>
      <color rgb="FF006600"/>
      <color rgb="FF99FF99"/>
      <color rgb="FF0000FF"/>
      <color rgb="FFCCFF99"/>
      <color rgb="FFFFCCFF"/>
      <color rgb="FFFF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p_szkpi_kontrolling_co\2016\Besz&#225;mol&#243;%202016\Fekete%20&#369;rlapok%20&#233;s%20analitik&#225;i\SZIE_11-12-13sz_mell&#233;klet_Hallgat&#243;i+k&#233;pz&#233;si+spec+PPP+k&#246;znev+K+F_2016_v&#233;gleges_0426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sz_melléklet_Hallgatói"/>
      <sheetName val="12A_melléklet_Képzési"/>
      <sheetName val="12B_melléklet_Speciális"/>
      <sheetName val="12B1_melléklet_Illetménytöb "/>
      <sheetName val="12B2_melléklet_Működés_K+F+I"/>
      <sheetName val="12B3_melléklet_Mérnökképzés"/>
      <sheetName val="12C_melléklet_Köznevelési"/>
      <sheetName val="12D_melléklet_PPP "/>
      <sheetName val="12_melléklet_Összesítés"/>
      <sheetName val="13A_melléklet_K+F_pénzf"/>
      <sheetName val="13B_melléklet_K+F_eredmény"/>
      <sheetName val="Hallgatói_juttatások_Elszámolás"/>
      <sheetName val="Speciális_feladatok_Elszámolás"/>
      <sheetName val="2016_Ősz"/>
      <sheetName val="2016_Tavasz"/>
      <sheetName val="2015_Ősz"/>
    </sheetNames>
    <sheetDataSet>
      <sheetData sheetId="0"/>
      <sheetData sheetId="1">
        <row r="4">
          <cell r="A4" t="str">
            <v>SZIE</v>
          </cell>
        </row>
        <row r="6">
          <cell r="E6">
            <v>4403986</v>
          </cell>
          <cell r="F6">
            <v>4642908</v>
          </cell>
          <cell r="G6">
            <v>238922</v>
          </cell>
        </row>
      </sheetData>
      <sheetData sheetId="2">
        <row r="27">
          <cell r="AA27">
            <v>1169810</v>
          </cell>
        </row>
      </sheetData>
      <sheetData sheetId="3"/>
      <sheetData sheetId="4"/>
      <sheetData sheetId="5"/>
      <sheetData sheetId="6">
        <row r="14">
          <cell r="H14">
            <v>323600</v>
          </cell>
          <cell r="I14">
            <v>323600</v>
          </cell>
          <cell r="J14">
            <v>0</v>
          </cell>
        </row>
      </sheetData>
      <sheetData sheetId="7">
        <row r="26">
          <cell r="E26">
            <v>892371</v>
          </cell>
          <cell r="F26">
            <v>691598</v>
          </cell>
          <cell r="G26">
            <v>0</v>
          </cell>
        </row>
      </sheetData>
      <sheetData sheetId="8"/>
      <sheetData sheetId="9"/>
      <sheetData sheetId="10"/>
      <sheetData sheetId="11"/>
      <sheetData sheetId="12">
        <row r="5">
          <cell r="C5" t="str">
            <v>Intézmény rövidítése</v>
          </cell>
          <cell r="D5" t="str">
            <v>Fogyatékos-
sággal élő hallgatók létszáma
2016.03.15.</v>
          </cell>
          <cell r="E5" t="str">
            <v>Fogyatékos-
sággal élő hallgatók létszáma
2016.10.15.</v>
          </cell>
          <cell r="F5" t="str">
            <v>Fogyatékos-
sággal élő hallgatók átlag-létszáma
2016.</v>
          </cell>
        </row>
        <row r="7">
          <cell r="C7" t="str">
            <v>SZIE</v>
          </cell>
          <cell r="D7">
            <v>103</v>
          </cell>
          <cell r="E7">
            <v>121</v>
          </cell>
          <cell r="F7">
            <v>112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58" zoomScaleNormal="100" workbookViewId="0">
      <selection activeCell="H81" sqref="H81"/>
    </sheetView>
  </sheetViews>
  <sheetFormatPr defaultRowHeight="12.75"/>
  <cols>
    <col min="1" max="1" width="50.7109375" style="1" customWidth="1"/>
    <col min="2" max="8" width="16.7109375" style="1" customWidth="1"/>
    <col min="9" max="16384" width="9.140625" style="1"/>
  </cols>
  <sheetData>
    <row r="1" spans="1:8">
      <c r="A1" s="214" t="s">
        <v>71</v>
      </c>
      <c r="B1" s="214"/>
      <c r="C1" s="214"/>
      <c r="D1" s="215"/>
      <c r="E1" s="215"/>
      <c r="F1" s="215"/>
      <c r="G1" s="215"/>
      <c r="H1" s="215"/>
    </row>
    <row r="2" spans="1:8">
      <c r="A2" s="215"/>
      <c r="B2" s="215"/>
      <c r="C2" s="215"/>
      <c r="D2" s="215"/>
      <c r="E2" s="215"/>
      <c r="F2" s="215"/>
      <c r="G2" s="215"/>
      <c r="H2" s="215"/>
    </row>
    <row r="3" spans="1:8">
      <c r="A3" s="215"/>
      <c r="B3" s="215"/>
      <c r="C3" s="215"/>
      <c r="D3" s="215"/>
      <c r="E3" s="215"/>
      <c r="F3" s="215"/>
      <c r="G3" s="215"/>
      <c r="H3" s="215"/>
    </row>
    <row r="4" spans="1:8">
      <c r="A4" s="215"/>
      <c r="B4" s="215"/>
      <c r="C4" s="215"/>
      <c r="D4" s="215"/>
      <c r="E4" s="215"/>
      <c r="F4" s="215"/>
      <c r="G4" s="215"/>
      <c r="H4" s="215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45" customHeight="1">
      <c r="A6" s="216" t="s">
        <v>1</v>
      </c>
      <c r="B6" s="218" t="s">
        <v>48</v>
      </c>
      <c r="C6" s="219"/>
      <c r="D6" s="220" t="s">
        <v>2</v>
      </c>
      <c r="E6" s="222" t="s">
        <v>45</v>
      </c>
      <c r="F6" s="224" t="s">
        <v>46</v>
      </c>
      <c r="G6" s="222" t="s">
        <v>4</v>
      </c>
      <c r="H6" s="226" t="s">
        <v>47</v>
      </c>
    </row>
    <row r="7" spans="1:8" ht="16.5" customHeight="1">
      <c r="A7" s="217"/>
      <c r="B7" s="3" t="s">
        <v>72</v>
      </c>
      <c r="C7" s="4" t="s">
        <v>73</v>
      </c>
      <c r="D7" s="221"/>
      <c r="E7" s="223"/>
      <c r="F7" s="225"/>
      <c r="G7" s="223"/>
      <c r="H7" s="227"/>
    </row>
    <row r="8" spans="1:8" ht="17.100000000000001" customHeight="1" thickBot="1">
      <c r="A8" s="117" t="s">
        <v>37</v>
      </c>
      <c r="B8" s="117" t="s">
        <v>38</v>
      </c>
      <c r="C8" s="118" t="s">
        <v>39</v>
      </c>
      <c r="D8" s="119" t="s">
        <v>53</v>
      </c>
      <c r="E8" s="120" t="s">
        <v>59</v>
      </c>
      <c r="F8" s="121" t="s">
        <v>74</v>
      </c>
      <c r="G8" s="120" t="s">
        <v>75</v>
      </c>
      <c r="H8" s="122" t="s">
        <v>76</v>
      </c>
    </row>
    <row r="9" spans="1:8" ht="14.1" customHeight="1">
      <c r="A9" s="5" t="s">
        <v>6</v>
      </c>
      <c r="B9" s="82">
        <v>6200</v>
      </c>
      <c r="C9" s="83">
        <v>5926</v>
      </c>
      <c r="D9" s="6">
        <f>ROUND((B9+C9)/2,1)</f>
        <v>6063</v>
      </c>
      <c r="E9" s="7">
        <v>119</v>
      </c>
      <c r="F9" s="8">
        <f>ROUNDUP(D9*E9,0)</f>
        <v>721497</v>
      </c>
      <c r="G9" s="9">
        <f>F83</f>
        <v>746748</v>
      </c>
      <c r="H9" s="10">
        <f>G9-F9</f>
        <v>25251</v>
      </c>
    </row>
    <row r="10" spans="1:8" s="16" customFormat="1" ht="14.1" customHeight="1">
      <c r="A10" s="11" t="s">
        <v>7</v>
      </c>
      <c r="B10" s="84">
        <v>2077</v>
      </c>
      <c r="C10" s="65">
        <v>1725</v>
      </c>
      <c r="D10" s="12">
        <f>ROUND((B10+C10)/2,1)</f>
        <v>1901</v>
      </c>
      <c r="E10" s="13">
        <v>116.5</v>
      </c>
      <c r="F10" s="14">
        <f>ROUNDUP(D10*E10,0)</f>
        <v>221467</v>
      </c>
      <c r="G10" s="98">
        <f>F88</f>
        <v>213540</v>
      </c>
      <c r="H10" s="15">
        <f>G10-F10</f>
        <v>-7927</v>
      </c>
    </row>
    <row r="11" spans="1:8" s="16" customFormat="1" ht="14.1" customHeight="1">
      <c r="A11" s="11" t="s">
        <v>8</v>
      </c>
      <c r="B11" s="84">
        <v>3446</v>
      </c>
      <c r="C11" s="65">
        <v>3609</v>
      </c>
      <c r="D11" s="12">
        <f>ROUND((B11+C11)/2,1)</f>
        <v>3527.5</v>
      </c>
      <c r="E11" s="13">
        <v>60</v>
      </c>
      <c r="F11" s="14">
        <f t="shared" ref="F11:F12" si="0">ROUNDUP(D11*E11,0)</f>
        <v>211650</v>
      </c>
      <c r="G11" s="98">
        <f>F89</f>
        <v>235367</v>
      </c>
      <c r="H11" s="15">
        <f>G11-F11</f>
        <v>23717</v>
      </c>
    </row>
    <row r="12" spans="1:8" ht="14.1" customHeight="1" thickBot="1">
      <c r="A12" s="17" t="s">
        <v>9</v>
      </c>
      <c r="B12" s="85">
        <v>6422</v>
      </c>
      <c r="C12" s="86">
        <v>6115</v>
      </c>
      <c r="D12" s="18">
        <f>ROUND((B12+C12)/2,1)</f>
        <v>6268.5</v>
      </c>
      <c r="E12" s="19">
        <v>11.9</v>
      </c>
      <c r="F12" s="20">
        <f t="shared" si="0"/>
        <v>74596</v>
      </c>
      <c r="G12" s="56">
        <f>F86</f>
        <v>77215</v>
      </c>
      <c r="H12" s="21">
        <f>G12-F12</f>
        <v>2619</v>
      </c>
    </row>
    <row r="13" spans="1:8" ht="24.95" customHeight="1" thickBot="1">
      <c r="A13" s="22"/>
      <c r="B13" s="23"/>
      <c r="C13" s="23"/>
      <c r="D13" s="24"/>
      <c r="E13" s="25"/>
      <c r="F13" s="26"/>
      <c r="G13" s="23"/>
      <c r="H13" s="27"/>
    </row>
    <row r="14" spans="1:8" ht="39.950000000000003" customHeight="1">
      <c r="A14" s="28" t="s">
        <v>1</v>
      </c>
      <c r="B14" s="29"/>
      <c r="C14" s="30" t="s">
        <v>10</v>
      </c>
      <c r="D14" s="30" t="s">
        <v>11</v>
      </c>
      <c r="E14" s="31" t="s">
        <v>12</v>
      </c>
      <c r="F14" s="32" t="s">
        <v>3</v>
      </c>
      <c r="G14" s="33" t="s">
        <v>4</v>
      </c>
      <c r="H14" s="34" t="s">
        <v>5</v>
      </c>
    </row>
    <row r="15" spans="1:8" ht="17.100000000000001" customHeight="1" thickBot="1">
      <c r="A15" s="117" t="s">
        <v>37</v>
      </c>
      <c r="B15" s="117" t="s">
        <v>38</v>
      </c>
      <c r="C15" s="118" t="s">
        <v>39</v>
      </c>
      <c r="D15" s="119" t="s">
        <v>53</v>
      </c>
      <c r="E15" s="120" t="s">
        <v>59</v>
      </c>
      <c r="F15" s="121" t="s">
        <v>74</v>
      </c>
      <c r="G15" s="120" t="s">
        <v>75</v>
      </c>
      <c r="H15" s="122" t="s">
        <v>76</v>
      </c>
    </row>
    <row r="16" spans="1:8" ht="14.1" customHeight="1">
      <c r="A16" s="229" t="s">
        <v>78</v>
      </c>
      <c r="B16" s="179"/>
      <c r="C16" s="195">
        <v>12</v>
      </c>
      <c r="D16" s="196">
        <v>80</v>
      </c>
      <c r="E16" s="197">
        <v>100</v>
      </c>
      <c r="F16" s="198">
        <f>C16*D16*E16</f>
        <v>96000</v>
      </c>
      <c r="G16" s="180"/>
      <c r="H16" s="181"/>
    </row>
    <row r="17" spans="1:8" ht="14.1" customHeight="1">
      <c r="A17" s="230"/>
      <c r="B17" s="182"/>
      <c r="C17" s="183">
        <v>8</v>
      </c>
      <c r="D17" s="184">
        <f>62+45</f>
        <v>107</v>
      </c>
      <c r="E17" s="185">
        <v>100</v>
      </c>
      <c r="F17" s="186">
        <f t="shared" ref="F17:F66" si="1">C17*D17*E17</f>
        <v>85600</v>
      </c>
      <c r="G17" s="187"/>
      <c r="H17" s="188"/>
    </row>
    <row r="18" spans="1:8" ht="14.1" customHeight="1">
      <c r="A18" s="230"/>
      <c r="B18" s="182"/>
      <c r="C18" s="183">
        <v>1</v>
      </c>
      <c r="D18" s="184">
        <f>1+7+1</f>
        <v>9</v>
      </c>
      <c r="E18" s="185">
        <v>100</v>
      </c>
      <c r="F18" s="186">
        <f t="shared" si="1"/>
        <v>900</v>
      </c>
      <c r="G18" s="187"/>
      <c r="H18" s="188"/>
    </row>
    <row r="19" spans="1:8" ht="14.1" customHeight="1">
      <c r="A19" s="230"/>
      <c r="B19" s="182"/>
      <c r="C19" s="183">
        <v>4</v>
      </c>
      <c r="D19" s="184">
        <v>22</v>
      </c>
      <c r="E19" s="185">
        <v>100</v>
      </c>
      <c r="F19" s="186">
        <f t="shared" si="1"/>
        <v>8800</v>
      </c>
      <c r="G19" s="187"/>
      <c r="H19" s="188"/>
    </row>
    <row r="20" spans="1:8" ht="14.1" customHeight="1">
      <c r="A20" s="230"/>
      <c r="B20" s="182"/>
      <c r="C20" s="183">
        <v>3</v>
      </c>
      <c r="D20" s="184">
        <v>29</v>
      </c>
      <c r="E20" s="185">
        <v>100</v>
      </c>
      <c r="F20" s="186">
        <f t="shared" si="1"/>
        <v>8700</v>
      </c>
      <c r="G20" s="187"/>
      <c r="H20" s="188"/>
    </row>
    <row r="21" spans="1:8" ht="14.1" customHeight="1">
      <c r="A21" s="230"/>
      <c r="B21" s="182"/>
      <c r="C21" s="183">
        <v>2</v>
      </c>
      <c r="D21" s="184">
        <v>53</v>
      </c>
      <c r="E21" s="185">
        <v>100</v>
      </c>
      <c r="F21" s="186">
        <f t="shared" si="1"/>
        <v>10600</v>
      </c>
      <c r="G21" s="187"/>
      <c r="H21" s="188"/>
    </row>
    <row r="22" spans="1:8" ht="14.1" customHeight="1">
      <c r="A22" s="230"/>
      <c r="B22" s="182"/>
      <c r="C22" s="183">
        <v>4</v>
      </c>
      <c r="D22" s="184">
        <f>9+46</f>
        <v>55</v>
      </c>
      <c r="E22" s="185">
        <v>140</v>
      </c>
      <c r="F22" s="186">
        <f t="shared" si="1"/>
        <v>30800</v>
      </c>
      <c r="G22" s="187"/>
      <c r="H22" s="188"/>
    </row>
    <row r="23" spans="1:8" ht="14.1" customHeight="1">
      <c r="A23" s="230"/>
      <c r="B23" s="182"/>
      <c r="C23" s="183">
        <v>2</v>
      </c>
      <c r="D23" s="184">
        <v>3</v>
      </c>
      <c r="E23" s="185">
        <v>140</v>
      </c>
      <c r="F23" s="186">
        <f t="shared" si="1"/>
        <v>840</v>
      </c>
      <c r="G23" s="187"/>
      <c r="H23" s="188"/>
    </row>
    <row r="24" spans="1:8" ht="14.1" customHeight="1" thickBot="1">
      <c r="A24" s="230"/>
      <c r="B24" s="182"/>
      <c r="C24" s="189">
        <v>6</v>
      </c>
      <c r="D24" s="190">
        <v>1</v>
      </c>
      <c r="E24" s="191">
        <v>140</v>
      </c>
      <c r="F24" s="192">
        <f t="shared" si="1"/>
        <v>840</v>
      </c>
      <c r="G24" s="193"/>
      <c r="H24" s="194"/>
    </row>
    <row r="25" spans="1:8" ht="14.1" customHeight="1" thickBot="1">
      <c r="A25" s="146" t="s">
        <v>13</v>
      </c>
      <c r="B25" s="147"/>
      <c r="C25" s="148"/>
      <c r="D25" s="149"/>
      <c r="E25" s="150"/>
      <c r="F25" s="151">
        <f>ROUNDUP(SUM(F16:F24),0)</f>
        <v>243080</v>
      </c>
      <c r="G25" s="152">
        <f>F85</f>
        <v>257900</v>
      </c>
      <c r="H25" s="153">
        <f>G25-F25</f>
        <v>14820</v>
      </c>
    </row>
    <row r="26" spans="1:8" ht="14.1" customHeight="1">
      <c r="A26" s="231" t="s">
        <v>14</v>
      </c>
      <c r="B26" s="35"/>
      <c r="C26" s="36">
        <v>1</v>
      </c>
      <c r="D26" s="37">
        <v>18</v>
      </c>
      <c r="E26" s="38">
        <v>34</v>
      </c>
      <c r="F26" s="39">
        <f t="shared" si="1"/>
        <v>612</v>
      </c>
      <c r="G26" s="40"/>
      <c r="H26" s="41"/>
    </row>
    <row r="27" spans="1:8" ht="14.1" customHeight="1">
      <c r="A27" s="232"/>
      <c r="B27" s="42"/>
      <c r="C27" s="43">
        <v>4</v>
      </c>
      <c r="D27" s="44">
        <v>46</v>
      </c>
      <c r="E27" s="45">
        <v>34</v>
      </c>
      <c r="F27" s="46">
        <f t="shared" si="1"/>
        <v>6256</v>
      </c>
      <c r="G27" s="47"/>
      <c r="H27" s="48"/>
    </row>
    <row r="28" spans="1:8" ht="14.1" customHeight="1">
      <c r="A28" s="232"/>
      <c r="B28" s="42"/>
      <c r="C28" s="43">
        <v>6</v>
      </c>
      <c r="D28" s="44">
        <v>36</v>
      </c>
      <c r="E28" s="45">
        <v>34</v>
      </c>
      <c r="F28" s="46">
        <f t="shared" si="1"/>
        <v>7344</v>
      </c>
      <c r="G28" s="47"/>
      <c r="H28" s="48"/>
    </row>
    <row r="29" spans="1:8" ht="14.1" customHeight="1">
      <c r="A29" s="232"/>
      <c r="B29" s="42"/>
      <c r="C29" s="43">
        <v>10</v>
      </c>
      <c r="D29" s="44">
        <v>9</v>
      </c>
      <c r="E29" s="45">
        <v>34</v>
      </c>
      <c r="F29" s="46">
        <f t="shared" si="1"/>
        <v>3060</v>
      </c>
      <c r="G29" s="47"/>
      <c r="H29" s="48"/>
    </row>
    <row r="30" spans="1:8" ht="14.1" customHeight="1">
      <c r="A30" s="232"/>
      <c r="B30" s="42"/>
      <c r="C30" s="43"/>
      <c r="D30" s="44"/>
      <c r="E30" s="45">
        <v>34</v>
      </c>
      <c r="F30" s="46">
        <f t="shared" si="1"/>
        <v>0</v>
      </c>
      <c r="G30" s="47"/>
      <c r="H30" s="48"/>
    </row>
    <row r="31" spans="1:8" ht="14.1" customHeight="1" thickBot="1">
      <c r="A31" s="232"/>
      <c r="B31" s="42"/>
      <c r="C31" s="100"/>
      <c r="D31" s="83"/>
      <c r="E31" s="154">
        <v>34</v>
      </c>
      <c r="F31" s="101">
        <f t="shared" si="1"/>
        <v>0</v>
      </c>
      <c r="G31" s="60"/>
      <c r="H31" s="61"/>
    </row>
    <row r="32" spans="1:8" s="16" customFormat="1" ht="14.1" customHeight="1" thickBot="1">
      <c r="A32" s="146" t="s">
        <v>15</v>
      </c>
      <c r="B32" s="147"/>
      <c r="C32" s="148"/>
      <c r="D32" s="155"/>
      <c r="E32" s="150"/>
      <c r="F32" s="151">
        <f>ROUNDUP(SUM(F26:F31),0)</f>
        <v>17272</v>
      </c>
      <c r="G32" s="152">
        <f>F87</f>
        <v>20808</v>
      </c>
      <c r="H32" s="153">
        <f>G32-F32</f>
        <v>3536</v>
      </c>
    </row>
    <row r="33" spans="1:8" ht="14.1" customHeight="1">
      <c r="A33" s="231" t="s">
        <v>16</v>
      </c>
      <c r="B33" s="35"/>
      <c r="C33" s="36"/>
      <c r="D33" s="37"/>
      <c r="E33" s="57">
        <f t="shared" ref="E33:E38" si="2">$E$9*15%</f>
        <v>17.849999999999998</v>
      </c>
      <c r="F33" s="58">
        <f>C33*D33*E33</f>
        <v>0</v>
      </c>
      <c r="G33" s="40"/>
      <c r="H33" s="41"/>
    </row>
    <row r="34" spans="1:8" ht="14.1" customHeight="1">
      <c r="A34" s="232"/>
      <c r="B34" s="42"/>
      <c r="C34" s="43"/>
      <c r="D34" s="44"/>
      <c r="E34" s="59">
        <f t="shared" si="2"/>
        <v>17.849999999999998</v>
      </c>
      <c r="F34" s="58">
        <f t="shared" ref="F34:F38" si="3">C34*D34*E34</f>
        <v>0</v>
      </c>
      <c r="G34" s="47"/>
      <c r="H34" s="48"/>
    </row>
    <row r="35" spans="1:8" ht="14.1" customHeight="1">
      <c r="A35" s="232"/>
      <c r="B35" s="42"/>
      <c r="C35" s="43"/>
      <c r="D35" s="44"/>
      <c r="E35" s="59">
        <f t="shared" si="2"/>
        <v>17.849999999999998</v>
      </c>
      <c r="F35" s="58">
        <f t="shared" si="3"/>
        <v>0</v>
      </c>
      <c r="G35" s="47"/>
      <c r="H35" s="48"/>
    </row>
    <row r="36" spans="1:8" ht="14.1" customHeight="1">
      <c r="A36" s="232"/>
      <c r="B36" s="42"/>
      <c r="C36" s="43"/>
      <c r="D36" s="44"/>
      <c r="E36" s="59">
        <f t="shared" si="2"/>
        <v>17.849999999999998</v>
      </c>
      <c r="F36" s="58">
        <f t="shared" si="3"/>
        <v>0</v>
      </c>
      <c r="G36" s="47"/>
      <c r="H36" s="48"/>
    </row>
    <row r="37" spans="1:8" ht="14.1" customHeight="1">
      <c r="A37" s="232"/>
      <c r="B37" s="42"/>
      <c r="C37" s="43"/>
      <c r="D37" s="44"/>
      <c r="E37" s="59">
        <f t="shared" si="2"/>
        <v>17.849999999999998</v>
      </c>
      <c r="F37" s="58">
        <f t="shared" si="3"/>
        <v>0</v>
      </c>
      <c r="G37" s="47"/>
      <c r="H37" s="48"/>
    </row>
    <row r="38" spans="1:8" ht="14.1" customHeight="1">
      <c r="A38" s="232"/>
      <c r="B38" s="42"/>
      <c r="C38" s="43"/>
      <c r="D38" s="44"/>
      <c r="E38" s="59">
        <f t="shared" si="2"/>
        <v>17.849999999999998</v>
      </c>
      <c r="F38" s="58">
        <f t="shared" si="3"/>
        <v>0</v>
      </c>
      <c r="G38" s="47"/>
      <c r="H38" s="48"/>
    </row>
    <row r="39" spans="1:8" ht="14.1" customHeight="1">
      <c r="A39" s="233" t="s">
        <v>17</v>
      </c>
      <c r="B39" s="35"/>
      <c r="C39" s="36"/>
      <c r="D39" s="103"/>
      <c r="E39" s="57">
        <f>$E$9*34%</f>
        <v>40.46</v>
      </c>
      <c r="F39" s="102">
        <f>C39*D39*E39</f>
        <v>0</v>
      </c>
      <c r="G39" s="62"/>
      <c r="H39" s="63"/>
    </row>
    <row r="40" spans="1:8" ht="14.1" customHeight="1">
      <c r="A40" s="232"/>
      <c r="B40" s="42"/>
      <c r="C40" s="43"/>
      <c r="D40" s="104"/>
      <c r="E40" s="59">
        <f t="shared" ref="E40:E44" si="4">$E$9*34%</f>
        <v>40.46</v>
      </c>
      <c r="F40" s="58">
        <f t="shared" ref="F40:F44" si="5">C40*D40*E40</f>
        <v>0</v>
      </c>
      <c r="G40" s="47"/>
      <c r="H40" s="48"/>
    </row>
    <row r="41" spans="1:8" ht="14.1" customHeight="1">
      <c r="A41" s="232"/>
      <c r="B41" s="42"/>
      <c r="C41" s="43"/>
      <c r="D41" s="104"/>
      <c r="E41" s="59">
        <f t="shared" si="4"/>
        <v>40.46</v>
      </c>
      <c r="F41" s="58">
        <f t="shared" si="5"/>
        <v>0</v>
      </c>
      <c r="G41" s="47"/>
      <c r="H41" s="48"/>
    </row>
    <row r="42" spans="1:8" ht="14.1" customHeight="1">
      <c r="A42" s="232"/>
      <c r="B42" s="42"/>
      <c r="C42" s="43"/>
      <c r="D42" s="104"/>
      <c r="E42" s="59">
        <f t="shared" si="4"/>
        <v>40.46</v>
      </c>
      <c r="F42" s="58">
        <f t="shared" si="5"/>
        <v>0</v>
      </c>
      <c r="G42" s="47"/>
      <c r="H42" s="48"/>
    </row>
    <row r="43" spans="1:8" ht="14.1" customHeight="1">
      <c r="A43" s="232"/>
      <c r="B43" s="42"/>
      <c r="C43" s="43"/>
      <c r="D43" s="104"/>
      <c r="E43" s="59">
        <f t="shared" si="4"/>
        <v>40.46</v>
      </c>
      <c r="F43" s="58">
        <f t="shared" si="5"/>
        <v>0</v>
      </c>
      <c r="G43" s="47"/>
      <c r="H43" s="48"/>
    </row>
    <row r="44" spans="1:8" ht="14.1" customHeight="1">
      <c r="A44" s="234"/>
      <c r="B44" s="49"/>
      <c r="C44" s="50"/>
      <c r="D44" s="105"/>
      <c r="E44" s="64">
        <f t="shared" si="4"/>
        <v>40.46</v>
      </c>
      <c r="F44" s="106">
        <f t="shared" si="5"/>
        <v>0</v>
      </c>
      <c r="G44" s="53"/>
      <c r="H44" s="54"/>
    </row>
    <row r="45" spans="1:8" ht="42" customHeight="1" thickBot="1">
      <c r="A45" s="99" t="s">
        <v>18</v>
      </c>
      <c r="B45" s="35"/>
      <c r="C45" s="36"/>
      <c r="D45" s="37"/>
      <c r="E45" s="57">
        <f>$E$16</f>
        <v>100</v>
      </c>
      <c r="F45" s="101">
        <f t="shared" si="1"/>
        <v>0</v>
      </c>
      <c r="G45" s="60"/>
      <c r="H45" s="61"/>
    </row>
    <row r="46" spans="1:8" ht="14.1" customHeight="1" thickBot="1">
      <c r="A46" s="146" t="s">
        <v>19</v>
      </c>
      <c r="B46" s="147"/>
      <c r="C46" s="148"/>
      <c r="D46" s="156"/>
      <c r="E46" s="157"/>
      <c r="F46" s="151">
        <f>ROUNDUP(SUM(F33:F45),0)</f>
        <v>0</v>
      </c>
      <c r="G46" s="152">
        <v>4800</v>
      </c>
      <c r="H46" s="153">
        <f>G46-F46</f>
        <v>4800</v>
      </c>
    </row>
    <row r="47" spans="1:8" ht="14.1" customHeight="1">
      <c r="A47" s="231" t="s">
        <v>20</v>
      </c>
      <c r="B47" s="35"/>
      <c r="C47" s="36">
        <v>5</v>
      </c>
      <c r="D47" s="103">
        <v>19</v>
      </c>
      <c r="E47" s="57">
        <f>81/19</f>
        <v>4.2631578947368425</v>
      </c>
      <c r="F47" s="39">
        <f t="shared" si="1"/>
        <v>405.00000000000006</v>
      </c>
      <c r="G47" s="40"/>
      <c r="H47" s="41"/>
    </row>
    <row r="48" spans="1:8" ht="14.1" customHeight="1">
      <c r="A48" s="232"/>
      <c r="B48" s="42"/>
      <c r="C48" s="107">
        <v>5</v>
      </c>
      <c r="D48" s="104">
        <v>63</v>
      </c>
      <c r="E48" s="59">
        <f>274/63</f>
        <v>4.3492063492063489</v>
      </c>
      <c r="F48" s="46">
        <f t="shared" si="1"/>
        <v>1370</v>
      </c>
      <c r="G48" s="66"/>
      <c r="H48" s="67"/>
    </row>
    <row r="49" spans="1:8" ht="14.1" customHeight="1">
      <c r="A49" s="232"/>
      <c r="B49" s="42"/>
      <c r="C49" s="107">
        <v>5</v>
      </c>
      <c r="D49" s="104">
        <v>124</v>
      </c>
      <c r="E49" s="59">
        <f>519.6/124</f>
        <v>4.1903225806451614</v>
      </c>
      <c r="F49" s="46">
        <f t="shared" si="1"/>
        <v>2598</v>
      </c>
      <c r="G49" s="66"/>
      <c r="H49" s="67"/>
    </row>
    <row r="50" spans="1:8" ht="14.1" customHeight="1">
      <c r="A50" s="232"/>
      <c r="B50" s="42"/>
      <c r="C50" s="107">
        <v>5</v>
      </c>
      <c r="D50" s="104">
        <v>77</v>
      </c>
      <c r="E50" s="59">
        <f>349.3/77</f>
        <v>4.5363636363636362</v>
      </c>
      <c r="F50" s="46">
        <f t="shared" si="1"/>
        <v>1746.5</v>
      </c>
      <c r="G50" s="66"/>
      <c r="H50" s="67"/>
    </row>
    <row r="51" spans="1:8" ht="14.1" customHeight="1">
      <c r="A51" s="232"/>
      <c r="B51" s="42"/>
      <c r="C51" s="107">
        <v>5</v>
      </c>
      <c r="D51" s="104">
        <v>29</v>
      </c>
      <c r="E51" s="59">
        <f>156/29</f>
        <v>5.3793103448275863</v>
      </c>
      <c r="F51" s="46">
        <f t="shared" si="1"/>
        <v>780</v>
      </c>
      <c r="G51" s="66"/>
      <c r="H51" s="67"/>
    </row>
    <row r="52" spans="1:8" ht="14.1" customHeight="1">
      <c r="A52" s="232"/>
      <c r="B52" s="42"/>
      <c r="C52" s="107">
        <v>5</v>
      </c>
      <c r="D52" s="104">
        <v>48</v>
      </c>
      <c r="E52" s="59">
        <f>210.1/48</f>
        <v>4.3770833333333332</v>
      </c>
      <c r="F52" s="46">
        <f t="shared" si="1"/>
        <v>1050.5</v>
      </c>
      <c r="G52" s="66"/>
      <c r="H52" s="67"/>
    </row>
    <row r="53" spans="1:8" ht="14.1" customHeight="1">
      <c r="A53" s="232"/>
      <c r="B53" s="42"/>
      <c r="C53" s="107">
        <v>5</v>
      </c>
      <c r="D53" s="104">
        <v>100</v>
      </c>
      <c r="E53" s="59">
        <f>428.3/100</f>
        <v>4.2830000000000004</v>
      </c>
      <c r="F53" s="46">
        <f t="shared" si="1"/>
        <v>2141.5</v>
      </c>
      <c r="G53" s="66"/>
      <c r="H53" s="67"/>
    </row>
    <row r="54" spans="1:8" ht="14.1" customHeight="1">
      <c r="A54" s="232"/>
      <c r="B54" s="42"/>
      <c r="C54" s="107">
        <v>5</v>
      </c>
      <c r="D54" s="104">
        <v>106</v>
      </c>
      <c r="E54" s="59">
        <f>466.1/106</f>
        <v>4.3971698113207554</v>
      </c>
      <c r="F54" s="46">
        <f t="shared" si="1"/>
        <v>2330.5000000000005</v>
      </c>
      <c r="G54" s="66"/>
      <c r="H54" s="67"/>
    </row>
    <row r="55" spans="1:8" ht="14.1" customHeight="1">
      <c r="A55" s="232"/>
      <c r="B55" s="42"/>
      <c r="C55" s="107">
        <v>5</v>
      </c>
      <c r="D55" s="104">
        <v>197</v>
      </c>
      <c r="E55" s="59">
        <f>830.7/197</f>
        <v>4.2167512690355329</v>
      </c>
      <c r="F55" s="46">
        <f t="shared" si="1"/>
        <v>4153.5</v>
      </c>
      <c r="G55" s="66"/>
      <c r="H55" s="67"/>
    </row>
    <row r="56" spans="1:8" ht="14.1" customHeight="1">
      <c r="A56" s="232"/>
      <c r="B56" s="42"/>
      <c r="C56" s="107">
        <v>5</v>
      </c>
      <c r="D56" s="104">
        <v>53</v>
      </c>
      <c r="E56" s="59">
        <f>243.5/53</f>
        <v>4.5943396226415096</v>
      </c>
      <c r="F56" s="46">
        <f t="shared" si="1"/>
        <v>1217.5</v>
      </c>
      <c r="G56" s="66"/>
      <c r="H56" s="67"/>
    </row>
    <row r="57" spans="1:8" ht="14.1" customHeight="1">
      <c r="A57" s="232"/>
      <c r="B57" s="42"/>
      <c r="C57" s="107">
        <v>5</v>
      </c>
      <c r="D57" s="104">
        <v>126</v>
      </c>
      <c r="E57" s="59">
        <f>537/126</f>
        <v>4.2619047619047619</v>
      </c>
      <c r="F57" s="46">
        <f t="shared" si="1"/>
        <v>2685</v>
      </c>
      <c r="G57" s="66"/>
      <c r="H57" s="67"/>
    </row>
    <row r="58" spans="1:8" ht="14.1" customHeight="1">
      <c r="A58" s="232"/>
      <c r="B58" s="42"/>
      <c r="C58" s="107">
        <v>5</v>
      </c>
      <c r="D58" s="104">
        <v>117</v>
      </c>
      <c r="E58" s="59">
        <f>486.9/117</f>
        <v>4.161538461538461</v>
      </c>
      <c r="F58" s="46">
        <f t="shared" si="1"/>
        <v>2434.4999999999995</v>
      </c>
      <c r="G58" s="66"/>
      <c r="H58" s="67"/>
    </row>
    <row r="59" spans="1:8" ht="14.1" customHeight="1">
      <c r="A59" s="232"/>
      <c r="B59" s="42"/>
      <c r="C59" s="107">
        <v>5</v>
      </c>
      <c r="D59" s="104">
        <v>68</v>
      </c>
      <c r="E59" s="59">
        <f>308.3/68</f>
        <v>4.533823529411765</v>
      </c>
      <c r="F59" s="46">
        <f t="shared" si="1"/>
        <v>1541.5</v>
      </c>
      <c r="G59" s="66"/>
      <c r="H59" s="67"/>
    </row>
    <row r="60" spans="1:8" ht="14.1" customHeight="1">
      <c r="A60" s="232"/>
      <c r="B60" s="42"/>
      <c r="C60" s="107">
        <v>5</v>
      </c>
      <c r="D60" s="104">
        <v>24</v>
      </c>
      <c r="E60" s="59">
        <f>107.5/24</f>
        <v>4.479166666666667</v>
      </c>
      <c r="F60" s="46">
        <f t="shared" si="1"/>
        <v>537.5</v>
      </c>
      <c r="G60" s="66"/>
      <c r="H60" s="67"/>
    </row>
    <row r="61" spans="1:8" ht="14.1" customHeight="1">
      <c r="A61" s="232"/>
      <c r="B61" s="42"/>
      <c r="C61" s="107">
        <v>5</v>
      </c>
      <c r="D61" s="104">
        <v>43</v>
      </c>
      <c r="E61" s="59">
        <f>194.1/43</f>
        <v>4.5139534883720929</v>
      </c>
      <c r="F61" s="46">
        <f t="shared" si="1"/>
        <v>970.5</v>
      </c>
      <c r="G61" s="66"/>
      <c r="H61" s="67"/>
    </row>
    <row r="62" spans="1:8" ht="14.1" customHeight="1">
      <c r="A62" s="232"/>
      <c r="B62" s="42"/>
      <c r="C62" s="107">
        <v>5</v>
      </c>
      <c r="D62" s="104">
        <v>88</v>
      </c>
      <c r="E62" s="59">
        <f>376.2/88</f>
        <v>4.2749999999999995</v>
      </c>
      <c r="F62" s="46">
        <f t="shared" si="1"/>
        <v>1880.9999999999998</v>
      </c>
      <c r="G62" s="66"/>
      <c r="H62" s="67"/>
    </row>
    <row r="63" spans="1:8" ht="14.1" customHeight="1">
      <c r="A63" s="232"/>
      <c r="B63" s="42"/>
      <c r="C63" s="107">
        <v>5</v>
      </c>
      <c r="D63" s="104">
        <v>95</v>
      </c>
      <c r="E63" s="59">
        <f>415.5/95</f>
        <v>4.3736842105263154</v>
      </c>
      <c r="F63" s="46">
        <f t="shared" si="1"/>
        <v>2077.5</v>
      </c>
      <c r="G63" s="66"/>
      <c r="H63" s="67"/>
    </row>
    <row r="64" spans="1:8" ht="14.1" customHeight="1">
      <c r="A64" s="232"/>
      <c r="B64" s="42"/>
      <c r="C64" s="107">
        <v>5</v>
      </c>
      <c r="D64" s="104">
        <v>191</v>
      </c>
      <c r="E64" s="59">
        <f>796.4/191</f>
        <v>4.169633507853403</v>
      </c>
      <c r="F64" s="46">
        <f t="shared" si="1"/>
        <v>3982</v>
      </c>
      <c r="G64" s="66"/>
      <c r="H64" s="67"/>
    </row>
    <row r="65" spans="1:8" ht="14.1" customHeight="1">
      <c r="A65" s="232"/>
      <c r="B65" s="42"/>
      <c r="C65" s="107">
        <v>5</v>
      </c>
      <c r="D65" s="104">
        <v>42</v>
      </c>
      <c r="E65" s="59">
        <f>190/42</f>
        <v>4.5238095238095237</v>
      </c>
      <c r="F65" s="46">
        <f t="shared" si="1"/>
        <v>950</v>
      </c>
      <c r="G65" s="66"/>
      <c r="H65" s="67"/>
    </row>
    <row r="66" spans="1:8" ht="14.1" customHeight="1">
      <c r="A66" s="232"/>
      <c r="B66" s="42"/>
      <c r="C66" s="107">
        <v>5</v>
      </c>
      <c r="D66" s="104">
        <v>111</v>
      </c>
      <c r="E66" s="59">
        <f>472.5/111</f>
        <v>4.256756756756757</v>
      </c>
      <c r="F66" s="46">
        <f t="shared" si="1"/>
        <v>2362.5</v>
      </c>
      <c r="G66" s="66"/>
      <c r="H66" s="67"/>
    </row>
    <row r="67" spans="1:8" ht="14.1" customHeight="1">
      <c r="A67" s="232"/>
      <c r="B67" s="42"/>
      <c r="C67" s="108"/>
      <c r="D67" s="109"/>
      <c r="E67" s="110"/>
      <c r="F67" s="46"/>
      <c r="G67" s="66"/>
      <c r="H67" s="67"/>
    </row>
    <row r="68" spans="1:8" ht="14.1" customHeight="1">
      <c r="A68" s="232"/>
      <c r="B68" s="42"/>
      <c r="C68" s="107"/>
      <c r="D68" s="104"/>
      <c r="E68" s="59"/>
      <c r="F68" s="46"/>
      <c r="G68" s="66"/>
      <c r="H68" s="67"/>
    </row>
    <row r="69" spans="1:8" ht="14.1" customHeight="1">
      <c r="A69" s="234"/>
      <c r="B69" s="42"/>
      <c r="C69" s="50"/>
      <c r="D69" s="51"/>
      <c r="E69" s="123"/>
      <c r="F69" s="52"/>
      <c r="G69" s="66"/>
      <c r="H69" s="67"/>
    </row>
    <row r="70" spans="1:8" s="16" customFormat="1" ht="14.1" customHeight="1" thickBot="1">
      <c r="A70" s="55" t="s">
        <v>21</v>
      </c>
      <c r="B70" s="133"/>
      <c r="C70" s="134"/>
      <c r="D70" s="135"/>
      <c r="E70" s="136"/>
      <c r="F70" s="145">
        <f>SUM(F47:F69)</f>
        <v>37215</v>
      </c>
      <c r="G70" s="144">
        <f>F84</f>
        <v>41951</v>
      </c>
      <c r="H70" s="132">
        <f>G70-F70</f>
        <v>4736</v>
      </c>
    </row>
    <row r="71" spans="1:8" s="16" customFormat="1" ht="24.95" customHeight="1" thickBot="1">
      <c r="A71" s="68" t="s">
        <v>22</v>
      </c>
      <c r="B71" s="141"/>
      <c r="C71" s="142"/>
      <c r="D71" s="143"/>
      <c r="E71" s="137"/>
      <c r="F71" s="138">
        <f>SUM(F9:F12,F25,F32,F46,F70)</f>
        <v>1526777</v>
      </c>
      <c r="G71" s="139">
        <f>SUM(G9:G12,G25,G32,G46,G70)</f>
        <v>1598329</v>
      </c>
      <c r="H71" s="140">
        <f>SUM(H9:H12,H25,H32,H46,H70)</f>
        <v>71552</v>
      </c>
    </row>
    <row r="74" spans="1:8">
      <c r="A74" s="1" t="s">
        <v>175</v>
      </c>
    </row>
    <row r="77" spans="1:8">
      <c r="F77" s="69"/>
    </row>
    <row r="78" spans="1:8">
      <c r="F78" s="1" t="s">
        <v>23</v>
      </c>
      <c r="G78" s="1" t="s">
        <v>24</v>
      </c>
    </row>
    <row r="79" spans="1:8">
      <c r="A79" s="16" t="s">
        <v>29</v>
      </c>
      <c r="F79" s="228" t="s">
        <v>174</v>
      </c>
      <c r="G79" s="228"/>
      <c r="H79" s="228"/>
    </row>
    <row r="81" spans="1:7" ht="25.5">
      <c r="A81" s="204" t="s">
        <v>176</v>
      </c>
      <c r="B81" s="205" t="s">
        <v>161</v>
      </c>
      <c r="C81" s="206" t="s">
        <v>170</v>
      </c>
      <c r="D81" s="205" t="s">
        <v>173</v>
      </c>
      <c r="E81" s="205" t="s">
        <v>172</v>
      </c>
      <c r="F81" s="205" t="s">
        <v>171</v>
      </c>
      <c r="G81" s="199"/>
    </row>
    <row r="82" spans="1:7">
      <c r="A82" s="207"/>
      <c r="B82" s="177"/>
      <c r="C82" s="177"/>
      <c r="D82" s="177"/>
      <c r="E82" s="178"/>
      <c r="F82" s="177"/>
      <c r="G82" s="199"/>
    </row>
    <row r="83" spans="1:7">
      <c r="A83" s="207" t="s">
        <v>162</v>
      </c>
      <c r="B83" s="178">
        <v>809388</v>
      </c>
      <c r="C83" s="178">
        <v>30057</v>
      </c>
      <c r="D83" s="178">
        <v>28370</v>
      </c>
      <c r="E83" s="178">
        <v>4213</v>
      </c>
      <c r="F83" s="178">
        <f>B83-C83-D83-E83</f>
        <v>746748</v>
      </c>
      <c r="G83" s="213"/>
    </row>
    <row r="84" spans="1:7">
      <c r="A84" s="208" t="s">
        <v>163</v>
      </c>
      <c r="B84" s="178">
        <v>44536</v>
      </c>
      <c r="C84" s="178">
        <v>810</v>
      </c>
      <c r="D84" s="178">
        <v>1370</v>
      </c>
      <c r="E84" s="178">
        <v>405</v>
      </c>
      <c r="F84" s="178">
        <f t="shared" ref="F84:F92" si="6">B84-C84-D84-E84</f>
        <v>41951</v>
      </c>
      <c r="G84" s="213"/>
    </row>
    <row r="85" spans="1:7">
      <c r="A85" s="208" t="s">
        <v>164</v>
      </c>
      <c r="B85" s="178">
        <v>283200</v>
      </c>
      <c r="C85" s="178">
        <v>6700</v>
      </c>
      <c r="D85" s="178">
        <v>18600</v>
      </c>
      <c r="E85" s="178"/>
      <c r="F85" s="178">
        <f t="shared" si="6"/>
        <v>257900</v>
      </c>
      <c r="G85" s="213"/>
    </row>
    <row r="86" spans="1:7">
      <c r="A86" s="209" t="s">
        <v>9</v>
      </c>
      <c r="B86" s="178">
        <v>83741</v>
      </c>
      <c r="C86" s="178">
        <v>3084</v>
      </c>
      <c r="D86" s="178">
        <v>3021</v>
      </c>
      <c r="E86" s="178">
        <v>421</v>
      </c>
      <c r="F86" s="178">
        <f t="shared" si="6"/>
        <v>77215</v>
      </c>
      <c r="G86" s="213"/>
    </row>
    <row r="87" spans="1:7">
      <c r="A87" s="207" t="s">
        <v>165</v>
      </c>
      <c r="B87" s="178">
        <v>22440</v>
      </c>
      <c r="C87" s="178">
        <v>680</v>
      </c>
      <c r="D87" s="178">
        <v>816</v>
      </c>
      <c r="E87" s="177">
        <v>136</v>
      </c>
      <c r="F87" s="178">
        <f t="shared" si="6"/>
        <v>20808</v>
      </c>
      <c r="G87" s="213"/>
    </row>
    <row r="88" spans="1:7">
      <c r="A88" s="207" t="s">
        <v>166</v>
      </c>
      <c r="B88" s="178">
        <v>234515</v>
      </c>
      <c r="C88" s="178">
        <v>4345</v>
      </c>
      <c r="D88" s="178">
        <v>15698</v>
      </c>
      <c r="E88" s="177">
        <v>932</v>
      </c>
      <c r="F88" s="178">
        <f t="shared" si="6"/>
        <v>213540</v>
      </c>
      <c r="G88" s="213"/>
    </row>
    <row r="89" spans="1:7">
      <c r="A89" s="207" t="s">
        <v>167</v>
      </c>
      <c r="B89" s="178">
        <v>252180</v>
      </c>
      <c r="C89" s="178">
        <v>9624</v>
      </c>
      <c r="D89" s="178">
        <v>5725</v>
      </c>
      <c r="E89" s="177">
        <v>1464</v>
      </c>
      <c r="F89" s="178">
        <f t="shared" si="6"/>
        <v>235367</v>
      </c>
      <c r="G89" s="213"/>
    </row>
    <row r="90" spans="1:7">
      <c r="A90" s="207" t="s">
        <v>168</v>
      </c>
      <c r="B90" s="178">
        <v>1500</v>
      </c>
      <c r="C90" s="178"/>
      <c r="D90" s="178"/>
      <c r="E90" s="177"/>
      <c r="F90" s="178">
        <f t="shared" si="6"/>
        <v>1500</v>
      </c>
      <c r="G90" s="213"/>
    </row>
    <row r="91" spans="1:7">
      <c r="A91" s="207" t="s">
        <v>169</v>
      </c>
      <c r="B91" s="178">
        <v>3300</v>
      </c>
      <c r="C91" s="178"/>
      <c r="D91" s="178"/>
      <c r="E91" s="177"/>
      <c r="F91" s="178">
        <f t="shared" si="6"/>
        <v>3300</v>
      </c>
      <c r="G91" s="213"/>
    </row>
    <row r="92" spans="1:7">
      <c r="A92" s="210" t="s">
        <v>103</v>
      </c>
      <c r="B92" s="211">
        <f>SUM(B83:B91)</f>
        <v>1734800</v>
      </c>
      <c r="C92" s="211">
        <f>SUM(C83:C91)</f>
        <v>55300</v>
      </c>
      <c r="D92" s="211">
        <f>SUM(D83:D91)</f>
        <v>73600</v>
      </c>
      <c r="E92" s="211">
        <f>SUM(E83:E91)</f>
        <v>7571</v>
      </c>
      <c r="F92" s="211">
        <f t="shared" si="6"/>
        <v>1598329</v>
      </c>
      <c r="G92" s="213"/>
    </row>
    <row r="93" spans="1:7">
      <c r="B93" s="97"/>
      <c r="G93" s="97"/>
    </row>
    <row r="94" spans="1:7">
      <c r="B94" s="97"/>
    </row>
    <row r="95" spans="1:7">
      <c r="B95" s="97"/>
    </row>
  </sheetData>
  <mergeCells count="14">
    <mergeCell ref="F79:H79"/>
    <mergeCell ref="A16:A24"/>
    <mergeCell ref="A26:A31"/>
    <mergeCell ref="A33:A38"/>
    <mergeCell ref="A39:A44"/>
    <mergeCell ref="A47:A69"/>
    <mergeCell ref="A1:H4"/>
    <mergeCell ref="A6:A7"/>
    <mergeCell ref="B6:C6"/>
    <mergeCell ref="D6:D7"/>
    <mergeCell ref="E6:E7"/>
    <mergeCell ref="F6:F7"/>
    <mergeCell ref="G6:G7"/>
    <mergeCell ref="H6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8" orientation="portrait" r:id="rId1"/>
  <headerFooter alignWithMargins="0">
    <oddHeader>&amp;LSzent István Egyetem&amp;CADATLAP&amp;R11. sz. melléklet</oddHeader>
  </headerFooter>
  <ignoredErrors>
    <ignoredError sqref="G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zoomScaleNormal="100" workbookViewId="0">
      <selection activeCell="J6" sqref="J6"/>
    </sheetView>
  </sheetViews>
  <sheetFormatPr defaultRowHeight="12.75"/>
  <cols>
    <col min="1" max="1" width="10.7109375" style="1" customWidth="1"/>
    <col min="2" max="7" width="20" style="1" customWidth="1"/>
    <col min="8" max="8" width="9" style="1" customWidth="1"/>
    <col min="9" max="9" width="9.85546875" style="1" customWidth="1"/>
    <col min="10" max="10" width="8.42578125" style="1" customWidth="1"/>
    <col min="11" max="12" width="8.140625" style="1" customWidth="1"/>
    <col min="13" max="14" width="9.85546875" style="1" customWidth="1"/>
    <col min="15" max="15" width="8.5703125" style="1" customWidth="1"/>
    <col min="16" max="16" width="8.140625" style="1" customWidth="1"/>
    <col min="17" max="19" width="9.85546875" style="1" customWidth="1"/>
    <col min="20" max="20" width="8.42578125" style="1" customWidth="1"/>
    <col min="21" max="21" width="8" style="1" customWidth="1"/>
    <col min="22" max="16384" width="9.140625" style="1"/>
  </cols>
  <sheetData>
    <row r="1" spans="1:25" ht="15.75">
      <c r="B1" s="70" t="s">
        <v>25</v>
      </c>
      <c r="G1" s="71" t="s">
        <v>26</v>
      </c>
    </row>
    <row r="2" spans="1:25">
      <c r="B2" s="16"/>
      <c r="G2" s="71" t="s">
        <v>27</v>
      </c>
    </row>
    <row r="3" spans="1:25" s="72" customFormat="1" ht="69" customHeight="1">
      <c r="A3" s="113" t="s">
        <v>0</v>
      </c>
      <c r="B3" s="114" t="s">
        <v>1</v>
      </c>
      <c r="C3" s="115" t="s">
        <v>68</v>
      </c>
      <c r="D3" s="116" t="s">
        <v>69</v>
      </c>
      <c r="E3" s="116" t="s">
        <v>65</v>
      </c>
      <c r="F3" s="116" t="s">
        <v>70</v>
      </c>
      <c r="G3" s="116" t="s">
        <v>28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73" customFormat="1" ht="30" customHeight="1">
      <c r="A4" s="81" t="s">
        <v>77</v>
      </c>
      <c r="B4" s="87" t="s">
        <v>49</v>
      </c>
      <c r="C4" s="88">
        <f>ROUNDUP(E4/D4,0)</f>
        <v>139079</v>
      </c>
      <c r="D4" s="89">
        <v>1</v>
      </c>
      <c r="E4" s="88">
        <v>139079</v>
      </c>
      <c r="F4" s="90"/>
      <c r="G4" s="9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0" customHeight="1">
      <c r="A5" s="74"/>
      <c r="B5" s="87" t="s">
        <v>50</v>
      </c>
      <c r="C5" s="88">
        <f>ROUNDUP(E5/D5,0)</f>
        <v>4264907</v>
      </c>
      <c r="D5" s="89">
        <v>1</v>
      </c>
      <c r="E5" s="131">
        <v>4264907</v>
      </c>
      <c r="F5" s="91"/>
      <c r="G5" s="91"/>
    </row>
    <row r="6" spans="1:25" ht="30" customHeight="1">
      <c r="A6" s="75"/>
      <c r="B6" s="87" t="s">
        <v>51</v>
      </c>
      <c r="C6" s="92">
        <f>SUM(C4:C5)</f>
        <v>4403986</v>
      </c>
      <c r="D6" s="93"/>
      <c r="E6" s="92">
        <f>SUM(E4:E5)</f>
        <v>4403986</v>
      </c>
      <c r="F6" s="94">
        <f>5264700-129200-459535-33057</f>
        <v>4642908</v>
      </c>
      <c r="G6" s="92">
        <f>F6-E6</f>
        <v>238922</v>
      </c>
    </row>
    <row r="7" spans="1:25" s="16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B8" s="1" t="s">
        <v>29</v>
      </c>
    </row>
    <row r="9" spans="1:25" s="16" customFormat="1">
      <c r="A9" s="1"/>
      <c r="B9" s="1" t="s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6" customFormat="1">
      <c r="A10" s="1"/>
      <c r="B10" s="1" t="s">
        <v>31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16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76" customFormat="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77" customFormat="1">
      <c r="A13" s="1"/>
      <c r="B13" s="16" t="s">
        <v>136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6" customFormat="1" ht="12.75" customHeight="1">
      <c r="A14" s="1"/>
      <c r="B14" s="1" t="s">
        <v>137</v>
      </c>
      <c r="C14" s="1"/>
      <c r="D14" s="1"/>
      <c r="E14" s="97">
        <v>613729</v>
      </c>
      <c r="F14" s="1" t="s">
        <v>27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B15" s="1" t="s">
        <v>138</v>
      </c>
      <c r="E15" s="97">
        <v>501998</v>
      </c>
      <c r="F15" s="1" t="s">
        <v>27</v>
      </c>
    </row>
    <row r="16" spans="1:25">
      <c r="B16" s="1" t="s">
        <v>139</v>
      </c>
      <c r="E16" s="97">
        <f>SUM(E14:E15)</f>
        <v>1115727</v>
      </c>
      <c r="F16" s="1" t="s">
        <v>27</v>
      </c>
    </row>
    <row r="17" spans="1:25" ht="13.5" customHeight="1">
      <c r="B17" s="1" t="s">
        <v>140</v>
      </c>
      <c r="E17" s="97">
        <f>ROUND(E16/2,0)</f>
        <v>557864</v>
      </c>
      <c r="F17" s="1" t="s">
        <v>27</v>
      </c>
    </row>
    <row r="18" spans="1:25">
      <c r="B18" s="16" t="s">
        <v>144</v>
      </c>
      <c r="C18" s="16"/>
      <c r="D18" s="16"/>
      <c r="E18" s="130">
        <f>E17-E15</f>
        <v>55866</v>
      </c>
      <c r="F18" s="16" t="s">
        <v>27</v>
      </c>
    </row>
    <row r="21" spans="1:25">
      <c r="B21" s="16" t="s">
        <v>141</v>
      </c>
    </row>
    <row r="22" spans="1:25">
      <c r="B22" s="1" t="s">
        <v>142</v>
      </c>
      <c r="E22" s="97">
        <v>37412</v>
      </c>
      <c r="F22" s="1" t="s">
        <v>27</v>
      </c>
    </row>
    <row r="23" spans="1:25">
      <c r="B23" s="1" t="s">
        <v>143</v>
      </c>
      <c r="E23" s="97">
        <v>42872</v>
      </c>
      <c r="F23" s="1" t="s">
        <v>27</v>
      </c>
    </row>
    <row r="24" spans="1:25" s="16" customFormat="1">
      <c r="A24" s="1"/>
      <c r="B24" s="1" t="s">
        <v>139</v>
      </c>
      <c r="C24" s="1"/>
      <c r="D24" s="1"/>
      <c r="E24" s="97">
        <f>SUM(E22:E23)</f>
        <v>80284</v>
      </c>
      <c r="F24" s="1" t="s">
        <v>27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16" customFormat="1">
      <c r="A25" s="1"/>
      <c r="B25" s="1" t="s">
        <v>140</v>
      </c>
      <c r="C25" s="1"/>
      <c r="D25" s="1"/>
      <c r="E25" s="97">
        <f>ROUND(E24/2,0)</f>
        <v>40142</v>
      </c>
      <c r="F25" s="1" t="s">
        <v>27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16" customFormat="1">
      <c r="A26" s="1"/>
      <c r="B26" s="16" t="s">
        <v>145</v>
      </c>
      <c r="E26" s="130">
        <f>E25-E23</f>
        <v>-2730</v>
      </c>
      <c r="F26" s="16" t="s">
        <v>27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1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6" customFormat="1">
      <c r="A28" s="200" t="s">
        <v>29</v>
      </c>
      <c r="B28" s="201"/>
      <c r="C28" s="201"/>
      <c r="D28" s="201"/>
      <c r="E28" s="201"/>
      <c r="F28" s="20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16" customFormat="1">
      <c r="A29" s="201"/>
      <c r="B29" s="201" t="s">
        <v>156</v>
      </c>
      <c r="C29" s="201"/>
      <c r="D29" s="201"/>
      <c r="E29" s="202">
        <v>5264700</v>
      </c>
      <c r="F29" s="201" t="s">
        <v>27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201"/>
      <c r="B30" s="201" t="s">
        <v>157</v>
      </c>
      <c r="C30" s="201"/>
      <c r="D30" s="201"/>
      <c r="E30" s="202">
        <v>-129200</v>
      </c>
      <c r="F30" s="201" t="s">
        <v>27</v>
      </c>
    </row>
    <row r="31" spans="1:25">
      <c r="A31" s="201"/>
      <c r="B31" s="201" t="s">
        <v>158</v>
      </c>
      <c r="C31" s="201"/>
      <c r="D31" s="201"/>
      <c r="E31" s="202">
        <v>-459535</v>
      </c>
      <c r="F31" s="201" t="s">
        <v>27</v>
      </c>
    </row>
    <row r="32" spans="1:25">
      <c r="A32" s="201"/>
      <c r="B32" s="201" t="s">
        <v>159</v>
      </c>
      <c r="C32" s="201"/>
      <c r="D32" s="201"/>
      <c r="E32" s="202">
        <v>-33057</v>
      </c>
      <c r="F32" s="201" t="s">
        <v>27</v>
      </c>
    </row>
    <row r="33" spans="1:25">
      <c r="A33" s="201"/>
      <c r="B33" s="200" t="s">
        <v>160</v>
      </c>
      <c r="C33" s="200"/>
      <c r="D33" s="200"/>
      <c r="E33" s="203">
        <f>SUM(E29:E32)</f>
        <v>4642908</v>
      </c>
      <c r="F33" s="200" t="s">
        <v>27</v>
      </c>
    </row>
    <row r="35" spans="1:25" s="7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78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7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7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7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7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7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7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7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7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7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7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7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7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7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.59055118110236227" bottom="0.59055118110236227" header="0.51181102362204722" footer="0.31496062992125984"/>
  <pageSetup paperSize="9" scale="99" orientation="landscape" r:id="rId1"/>
  <headerFooter alignWithMargins="0">
    <oddHeader>&amp;LSzent István Egyetem&amp;CADATLAP</oddHeader>
    <oddFooter>&amp;L&amp;"Times New Roman CE,Normál"Dátum: Gödöllő, 2017. február 28.&amp;CPH&amp;R&amp;"Times New Roman CE,Normál"............................................................
Figler Kálmán kancellár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0"/>
  <sheetViews>
    <sheetView topLeftCell="AA1" zoomScaleNormal="100" workbookViewId="0">
      <selection activeCell="Z23" sqref="Z23"/>
    </sheetView>
  </sheetViews>
  <sheetFormatPr defaultRowHeight="12.75"/>
  <cols>
    <col min="1" max="1" width="3" style="271" bestFit="1" customWidth="1"/>
    <col min="2" max="2" width="40.140625" style="271" customWidth="1"/>
    <col min="3" max="3" width="8.140625" style="271" customWidth="1"/>
    <col min="4" max="4" width="9.140625" style="271"/>
    <col min="5" max="5" width="11.5703125" style="271" customWidth="1"/>
    <col min="6" max="6" width="10.42578125" style="271" customWidth="1"/>
    <col min="7" max="26" width="11.7109375" style="271" customWidth="1"/>
    <col min="27" max="27" width="13.7109375" style="319" customWidth="1"/>
    <col min="28" max="28" width="11.28515625" style="273" customWidth="1"/>
    <col min="29" max="29" width="7.5703125" style="273" customWidth="1"/>
    <col min="30" max="30" width="8.85546875" style="273" customWidth="1"/>
    <col min="31" max="32" width="9.28515625" style="273" customWidth="1"/>
    <col min="33" max="33" width="8.28515625" style="273" customWidth="1"/>
    <col min="34" max="34" width="7.85546875" style="273" customWidth="1"/>
    <col min="35" max="35" width="8.28515625" style="273" customWidth="1"/>
    <col min="36" max="36" width="9" style="273" customWidth="1"/>
    <col min="37" max="37" width="9.85546875" style="273" customWidth="1"/>
    <col min="38" max="38" width="8.42578125" style="273" customWidth="1"/>
    <col min="39" max="40" width="8.140625" style="273" customWidth="1"/>
    <col min="41" max="42" width="9.85546875" style="273" customWidth="1"/>
    <col min="43" max="43" width="8.5703125" style="273" customWidth="1"/>
    <col min="44" max="44" width="8.140625" style="273" customWidth="1"/>
    <col min="45" max="47" width="9.85546875" style="273" customWidth="1"/>
    <col min="48" max="48" width="8.42578125" style="273" customWidth="1"/>
    <col min="49" max="49" width="8" style="273" customWidth="1"/>
    <col min="50" max="56" width="9.140625" style="273"/>
    <col min="57" max="16384" width="9.140625" style="271"/>
  </cols>
  <sheetData>
    <row r="1" spans="1:56" ht="15.75">
      <c r="B1" s="70" t="s">
        <v>177</v>
      </c>
      <c r="AA1" s="272" t="s">
        <v>178</v>
      </c>
    </row>
    <row r="2" spans="1:5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71" t="s">
        <v>27</v>
      </c>
    </row>
    <row r="3" spans="1:56" s="278" customFormat="1" ht="28.5" customHeight="1">
      <c r="A3" s="274" t="s">
        <v>1</v>
      </c>
      <c r="B3" s="274"/>
      <c r="C3" s="275" t="s">
        <v>179</v>
      </c>
      <c r="D3" s="276"/>
      <c r="E3" s="276"/>
      <c r="F3" s="277"/>
      <c r="G3" s="266" t="s">
        <v>180</v>
      </c>
      <c r="H3" s="266" t="s">
        <v>181</v>
      </c>
      <c r="I3" s="266" t="s">
        <v>182</v>
      </c>
      <c r="J3" s="266" t="s">
        <v>183</v>
      </c>
      <c r="K3" s="266" t="s">
        <v>184</v>
      </c>
      <c r="L3" s="266" t="s">
        <v>185</v>
      </c>
      <c r="M3" s="266" t="s">
        <v>186</v>
      </c>
      <c r="N3" s="266" t="s">
        <v>187</v>
      </c>
      <c r="O3" s="266" t="s">
        <v>188</v>
      </c>
      <c r="P3" s="266" t="s">
        <v>189</v>
      </c>
      <c r="Q3" s="266" t="s">
        <v>190</v>
      </c>
      <c r="R3" s="266" t="s">
        <v>191</v>
      </c>
      <c r="S3" s="266" t="s">
        <v>192</v>
      </c>
      <c r="T3" s="266" t="s">
        <v>193</v>
      </c>
      <c r="U3" s="266" t="s">
        <v>194</v>
      </c>
      <c r="V3" s="266" t="s">
        <v>195</v>
      </c>
      <c r="W3" s="266" t="s">
        <v>196</v>
      </c>
      <c r="X3" s="266" t="s">
        <v>197</v>
      </c>
      <c r="Y3" s="266" t="s">
        <v>198</v>
      </c>
      <c r="Z3" s="266" t="s">
        <v>199</v>
      </c>
      <c r="AA3" s="266" t="s">
        <v>200</v>
      </c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</row>
    <row r="4" spans="1:56" s="283" customFormat="1" ht="24.75" customHeight="1">
      <c r="A4" s="274"/>
      <c r="B4" s="274"/>
      <c r="C4" s="266" t="s">
        <v>201</v>
      </c>
      <c r="D4" s="266" t="s">
        <v>202</v>
      </c>
      <c r="E4" s="266" t="s">
        <v>203</v>
      </c>
      <c r="F4" s="266" t="s">
        <v>204</v>
      </c>
      <c r="G4" s="279"/>
      <c r="H4" s="279"/>
      <c r="I4" s="279"/>
      <c r="J4" s="279"/>
      <c r="K4" s="279"/>
      <c r="L4" s="279"/>
      <c r="M4" s="280"/>
      <c r="N4" s="279"/>
      <c r="O4" s="279"/>
      <c r="P4" s="281"/>
      <c r="Q4" s="282"/>
      <c r="R4" s="281"/>
      <c r="S4" s="281"/>
      <c r="T4" s="282"/>
      <c r="U4" s="282"/>
      <c r="V4" s="282"/>
      <c r="W4" s="282"/>
      <c r="X4" s="282"/>
      <c r="Y4" s="282"/>
      <c r="Z4" s="282"/>
      <c r="AA4" s="279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</row>
    <row r="5" spans="1:56" s="283" customFormat="1" ht="52.5" customHeight="1">
      <c r="A5" s="266"/>
      <c r="B5" s="266"/>
      <c r="C5" s="284"/>
      <c r="D5" s="284"/>
      <c r="E5" s="284"/>
      <c r="F5" s="284"/>
      <c r="G5" s="279"/>
      <c r="H5" s="279"/>
      <c r="I5" s="279"/>
      <c r="J5" s="279"/>
      <c r="K5" s="279"/>
      <c r="L5" s="279"/>
      <c r="M5" s="285"/>
      <c r="N5" s="279"/>
      <c r="O5" s="279"/>
      <c r="P5" s="286"/>
      <c r="Q5" s="287"/>
      <c r="R5" s="286"/>
      <c r="S5" s="286"/>
      <c r="T5" s="287"/>
      <c r="U5" s="287"/>
      <c r="V5" s="287"/>
      <c r="W5" s="287"/>
      <c r="X5" s="287"/>
      <c r="Y5" s="287"/>
      <c r="Z5" s="287"/>
      <c r="AA5" s="279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</row>
    <row r="6" spans="1:56" s="283" customFormat="1" ht="15.75" customHeight="1">
      <c r="A6" s="275"/>
      <c r="B6" s="288"/>
      <c r="C6" s="289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1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</row>
    <row r="7" spans="1:56" ht="15" customHeight="1">
      <c r="A7" s="292">
        <v>1</v>
      </c>
      <c r="B7" s="127" t="s">
        <v>205</v>
      </c>
      <c r="C7" s="293">
        <v>1</v>
      </c>
      <c r="D7" s="294">
        <v>2777</v>
      </c>
      <c r="E7" s="294"/>
      <c r="F7" s="295">
        <v>2777</v>
      </c>
      <c r="G7" s="296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8">
        <f>F7</f>
        <v>2777</v>
      </c>
    </row>
    <row r="8" spans="1:56" ht="15" customHeight="1">
      <c r="A8" s="299">
        <v>2</v>
      </c>
      <c r="B8" s="300" t="s">
        <v>180</v>
      </c>
      <c r="C8" s="301"/>
      <c r="D8" s="296"/>
      <c r="E8" s="296"/>
      <c r="F8" s="296"/>
      <c r="G8" s="302">
        <v>0</v>
      </c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8">
        <f>G8</f>
        <v>0</v>
      </c>
    </row>
    <row r="9" spans="1:56" ht="15" customHeight="1">
      <c r="A9" s="299">
        <v>3</v>
      </c>
      <c r="B9" s="303" t="s">
        <v>206</v>
      </c>
      <c r="C9" s="301"/>
      <c r="D9" s="296"/>
      <c r="E9" s="296"/>
      <c r="F9" s="296"/>
      <c r="G9" s="296"/>
      <c r="H9" s="302">
        <v>2200</v>
      </c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8">
        <f>H9</f>
        <v>2200</v>
      </c>
    </row>
    <row r="10" spans="1:56" ht="15" customHeight="1">
      <c r="A10" s="299">
        <v>4</v>
      </c>
      <c r="B10" s="303" t="s">
        <v>207</v>
      </c>
      <c r="C10" s="301"/>
      <c r="D10" s="296"/>
      <c r="E10" s="296"/>
      <c r="F10" s="296"/>
      <c r="G10" s="296"/>
      <c r="H10" s="297"/>
      <c r="I10" s="302">
        <v>2000</v>
      </c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8">
        <f>I10</f>
        <v>2000</v>
      </c>
    </row>
    <row r="11" spans="1:56" ht="15" customHeight="1">
      <c r="A11" s="299">
        <v>5</v>
      </c>
      <c r="B11" s="303" t="s">
        <v>183</v>
      </c>
      <c r="C11" s="301"/>
      <c r="D11" s="296"/>
      <c r="E11" s="296"/>
      <c r="F11" s="296"/>
      <c r="G11" s="296"/>
      <c r="H11" s="297"/>
      <c r="I11" s="297"/>
      <c r="J11" s="302">
        <v>0</v>
      </c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8">
        <f>J11</f>
        <v>0</v>
      </c>
    </row>
    <row r="12" spans="1:56" ht="15" customHeight="1">
      <c r="A12" s="299">
        <v>6</v>
      </c>
      <c r="B12" s="303" t="s">
        <v>208</v>
      </c>
      <c r="C12" s="301"/>
      <c r="D12" s="296"/>
      <c r="E12" s="296"/>
      <c r="F12" s="296"/>
      <c r="G12" s="296"/>
      <c r="H12" s="297"/>
      <c r="I12" s="297"/>
      <c r="J12" s="297"/>
      <c r="K12" s="304">
        <f>VLOOKUP('[1]12A_melléklet_Képzési'!$A$4,[1]Speciális_feladatok_Elszámolás!$C:$F,COLUMNS([1]Speciális_feladatok_Elszámolás!$C:$F),FALSE)</f>
        <v>112</v>
      </c>
      <c r="L12" s="302">
        <f>ROUNDUP(K12*120,0)</f>
        <v>13440</v>
      </c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8">
        <f>L12</f>
        <v>13440</v>
      </c>
      <c r="AC12" s="305"/>
    </row>
    <row r="13" spans="1:56" ht="24.95" customHeight="1">
      <c r="A13" s="299">
        <v>7</v>
      </c>
      <c r="B13" s="306" t="s">
        <v>186</v>
      </c>
      <c r="C13" s="301"/>
      <c r="D13" s="296"/>
      <c r="E13" s="296"/>
      <c r="F13" s="296"/>
      <c r="G13" s="296"/>
      <c r="H13" s="297"/>
      <c r="I13" s="297"/>
      <c r="J13" s="297"/>
      <c r="K13" s="297"/>
      <c r="L13" s="297"/>
      <c r="M13" s="302">
        <v>38000</v>
      </c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8">
        <f>M13</f>
        <v>38000</v>
      </c>
    </row>
    <row r="14" spans="1:56" ht="15" customHeight="1">
      <c r="A14" s="299">
        <v>8</v>
      </c>
      <c r="B14" s="306" t="s">
        <v>209</v>
      </c>
      <c r="C14" s="301"/>
      <c r="D14" s="296"/>
      <c r="E14" s="296"/>
      <c r="F14" s="296"/>
      <c r="G14" s="296"/>
      <c r="H14" s="297"/>
      <c r="I14" s="297"/>
      <c r="J14" s="297"/>
      <c r="K14" s="297"/>
      <c r="L14" s="297"/>
      <c r="M14" s="297"/>
      <c r="N14" s="302">
        <f>55100-6200-1526</f>
        <v>47374</v>
      </c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8">
        <f>N14</f>
        <v>47374</v>
      </c>
    </row>
    <row r="15" spans="1:56" ht="15" customHeight="1">
      <c r="A15" s="299">
        <v>9</v>
      </c>
      <c r="B15" s="307" t="s">
        <v>210</v>
      </c>
      <c r="C15" s="301"/>
      <c r="D15" s="296"/>
      <c r="E15" s="296"/>
      <c r="F15" s="296"/>
      <c r="G15" s="296"/>
      <c r="H15" s="297"/>
      <c r="I15" s="297"/>
      <c r="J15" s="297"/>
      <c r="K15" s="297"/>
      <c r="L15" s="297"/>
      <c r="M15" s="297"/>
      <c r="N15" s="297"/>
      <c r="O15" s="308">
        <v>62700</v>
      </c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8">
        <f>O15</f>
        <v>62700</v>
      </c>
    </row>
    <row r="16" spans="1:56" ht="15" customHeight="1">
      <c r="A16" s="299">
        <v>10</v>
      </c>
      <c r="B16" s="307" t="s">
        <v>211</v>
      </c>
      <c r="C16" s="301"/>
      <c r="D16" s="296"/>
      <c r="E16" s="296"/>
      <c r="F16" s="296"/>
      <c r="G16" s="296"/>
      <c r="H16" s="297"/>
      <c r="I16" s="297"/>
      <c r="J16" s="297"/>
      <c r="K16" s="297"/>
      <c r="L16" s="297"/>
      <c r="M16" s="297"/>
      <c r="N16" s="297"/>
      <c r="O16" s="297"/>
      <c r="P16" s="308">
        <f>10000+30000+40000</f>
        <v>80000</v>
      </c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8">
        <f>P16</f>
        <v>80000</v>
      </c>
    </row>
    <row r="17" spans="1:56" ht="15" customHeight="1">
      <c r="A17" s="309">
        <v>11</v>
      </c>
      <c r="B17" s="307" t="s">
        <v>212</v>
      </c>
      <c r="C17" s="296"/>
      <c r="D17" s="296"/>
      <c r="E17" s="296"/>
      <c r="F17" s="296"/>
      <c r="G17" s="296"/>
      <c r="H17" s="297"/>
      <c r="I17" s="297"/>
      <c r="J17" s="297"/>
      <c r="K17" s="297"/>
      <c r="L17" s="297"/>
      <c r="M17" s="297"/>
      <c r="N17" s="297"/>
      <c r="O17" s="297"/>
      <c r="P17" s="297"/>
      <c r="Q17" s="308">
        <v>42000</v>
      </c>
      <c r="R17" s="297"/>
      <c r="S17" s="297"/>
      <c r="T17" s="297"/>
      <c r="U17" s="297"/>
      <c r="V17" s="297"/>
      <c r="W17" s="297"/>
      <c r="X17" s="297"/>
      <c r="Y17" s="297"/>
      <c r="Z17" s="297"/>
      <c r="AA17" s="298">
        <f>Q17</f>
        <v>42000</v>
      </c>
    </row>
    <row r="18" spans="1:56" ht="15" customHeight="1">
      <c r="A18" s="309">
        <v>12</v>
      </c>
      <c r="B18" s="307" t="s">
        <v>191</v>
      </c>
      <c r="C18" s="296"/>
      <c r="D18" s="296"/>
      <c r="E18" s="296"/>
      <c r="F18" s="296"/>
      <c r="G18" s="296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302">
        <v>103000</v>
      </c>
      <c r="S18" s="297"/>
      <c r="T18" s="297"/>
      <c r="U18" s="297"/>
      <c r="V18" s="297"/>
      <c r="W18" s="297"/>
      <c r="X18" s="297"/>
      <c r="Y18" s="297"/>
      <c r="Z18" s="297"/>
      <c r="AA18" s="298">
        <f>R18</f>
        <v>103000</v>
      </c>
    </row>
    <row r="19" spans="1:56" ht="15" customHeight="1">
      <c r="A19" s="309">
        <v>13</v>
      </c>
      <c r="B19" s="307" t="s">
        <v>213</v>
      </c>
      <c r="C19" s="296"/>
      <c r="D19" s="296"/>
      <c r="E19" s="296"/>
      <c r="F19" s="296"/>
      <c r="G19" s="296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302">
        <v>171319</v>
      </c>
      <c r="T19" s="295"/>
      <c r="U19" s="297"/>
      <c r="V19" s="297"/>
      <c r="W19" s="297"/>
      <c r="X19" s="297"/>
      <c r="Y19" s="297"/>
      <c r="Z19" s="297"/>
      <c r="AA19" s="298">
        <f>S19</f>
        <v>171319</v>
      </c>
    </row>
    <row r="20" spans="1:56" ht="15" customHeight="1">
      <c r="A20" s="309">
        <v>14</v>
      </c>
      <c r="B20" s="307" t="s">
        <v>193</v>
      </c>
      <c r="C20" s="296"/>
      <c r="D20" s="296"/>
      <c r="E20" s="296"/>
      <c r="F20" s="296"/>
      <c r="G20" s="296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5"/>
      <c r="T20" s="308">
        <v>60000</v>
      </c>
      <c r="U20" s="297"/>
      <c r="V20" s="297"/>
      <c r="W20" s="297"/>
      <c r="X20" s="297"/>
      <c r="Y20" s="297"/>
      <c r="Z20" s="297"/>
      <c r="AA20" s="298">
        <f>T20</f>
        <v>60000</v>
      </c>
    </row>
    <row r="21" spans="1:56" ht="15" customHeight="1">
      <c r="A21" s="309">
        <v>15</v>
      </c>
      <c r="B21" s="307" t="s">
        <v>214</v>
      </c>
      <c r="C21" s="296"/>
      <c r="D21" s="296"/>
      <c r="E21" s="296"/>
      <c r="F21" s="296"/>
      <c r="G21" s="296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5"/>
      <c r="T21" s="297"/>
      <c r="U21" s="308">
        <v>25000</v>
      </c>
      <c r="V21" s="297"/>
      <c r="W21" s="297"/>
      <c r="X21" s="297"/>
      <c r="Y21" s="297"/>
      <c r="Z21" s="297"/>
      <c r="AA21" s="298">
        <f>U21</f>
        <v>25000</v>
      </c>
    </row>
    <row r="22" spans="1:56" ht="15" customHeight="1">
      <c r="A22" s="309">
        <v>16</v>
      </c>
      <c r="B22" s="307" t="s">
        <v>195</v>
      </c>
      <c r="C22" s="296"/>
      <c r="D22" s="296"/>
      <c r="E22" s="296"/>
      <c r="F22" s="296"/>
      <c r="G22" s="296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5"/>
      <c r="T22" s="297"/>
      <c r="U22" s="297"/>
      <c r="V22" s="308">
        <v>0</v>
      </c>
      <c r="W22" s="297"/>
      <c r="X22" s="297"/>
      <c r="Y22" s="297"/>
      <c r="Z22" s="297"/>
      <c r="AA22" s="298">
        <f>V22</f>
        <v>0</v>
      </c>
    </row>
    <row r="23" spans="1:56" ht="15" customHeight="1">
      <c r="A23" s="309">
        <v>17</v>
      </c>
      <c r="B23" s="307" t="s">
        <v>215</v>
      </c>
      <c r="C23" s="296"/>
      <c r="D23" s="296"/>
      <c r="E23" s="296"/>
      <c r="F23" s="296"/>
      <c r="G23" s="296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5"/>
      <c r="T23" s="297"/>
      <c r="U23" s="297"/>
      <c r="V23" s="295"/>
      <c r="W23" s="308">
        <v>25000</v>
      </c>
      <c r="X23" s="295"/>
      <c r="Y23" s="295"/>
      <c r="Z23" s="295"/>
      <c r="AA23" s="298">
        <f>W23</f>
        <v>25000</v>
      </c>
    </row>
    <row r="24" spans="1:56" ht="15" customHeight="1">
      <c r="A24" s="309">
        <v>18</v>
      </c>
      <c r="B24" s="307" t="s">
        <v>197</v>
      </c>
      <c r="C24" s="296"/>
      <c r="D24" s="296"/>
      <c r="E24" s="296"/>
      <c r="F24" s="296"/>
      <c r="G24" s="296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5"/>
      <c r="T24" s="297"/>
      <c r="U24" s="297"/>
      <c r="V24" s="295"/>
      <c r="W24" s="295"/>
      <c r="X24" s="308">
        <v>200000</v>
      </c>
      <c r="Y24" s="295"/>
      <c r="Z24" s="295"/>
      <c r="AA24" s="298">
        <f>X24</f>
        <v>200000</v>
      </c>
    </row>
    <row r="25" spans="1:56" ht="23.25" customHeight="1">
      <c r="A25" s="309">
        <v>19</v>
      </c>
      <c r="B25" s="307" t="s">
        <v>198</v>
      </c>
      <c r="C25" s="296"/>
      <c r="D25" s="296"/>
      <c r="E25" s="296"/>
      <c r="F25" s="296"/>
      <c r="G25" s="296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5"/>
      <c r="T25" s="297"/>
      <c r="U25" s="297"/>
      <c r="V25" s="295"/>
      <c r="W25" s="295"/>
      <c r="X25" s="295"/>
      <c r="Y25" s="308">
        <v>5000</v>
      </c>
      <c r="Z25" s="295"/>
      <c r="AA25" s="298">
        <f>Y25</f>
        <v>5000</v>
      </c>
    </row>
    <row r="26" spans="1:56" ht="15" customHeight="1">
      <c r="A26" s="309">
        <v>20</v>
      </c>
      <c r="B26" s="307" t="s">
        <v>199</v>
      </c>
      <c r="C26" s="296"/>
      <c r="D26" s="296"/>
      <c r="E26" s="296"/>
      <c r="F26" s="296"/>
      <c r="G26" s="296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5"/>
      <c r="T26" s="297"/>
      <c r="U26" s="297"/>
      <c r="V26" s="295"/>
      <c r="W26" s="295"/>
      <c r="X26" s="295"/>
      <c r="Y26" s="295"/>
      <c r="Z26" s="308">
        <v>290000</v>
      </c>
      <c r="AA26" s="298">
        <f>Z26</f>
        <v>290000</v>
      </c>
    </row>
    <row r="27" spans="1:56" s="313" customFormat="1" ht="15" customHeight="1">
      <c r="A27" s="310"/>
      <c r="B27" s="311" t="s">
        <v>216</v>
      </c>
      <c r="C27" s="312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5"/>
      <c r="W27" s="295"/>
      <c r="X27" s="295"/>
      <c r="Y27" s="295"/>
      <c r="Z27" s="295"/>
      <c r="AA27" s="302">
        <f>SUM(AA7:AA26)</f>
        <v>1169810</v>
      </c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</row>
    <row r="28" spans="1:56">
      <c r="AA28" s="314"/>
    </row>
    <row r="29" spans="1:56" ht="12.75" customHeight="1">
      <c r="AA29" s="271"/>
    </row>
    <row r="30" spans="1:56">
      <c r="AA30" s="271"/>
    </row>
    <row r="31" spans="1:56">
      <c r="AA31" s="271"/>
    </row>
    <row r="32" spans="1:56" ht="13.5" customHeight="1">
      <c r="AA32" s="271"/>
    </row>
    <row r="33" spans="1:56">
      <c r="AA33" s="271"/>
    </row>
    <row r="34" spans="1:56">
      <c r="AA34" s="271"/>
    </row>
    <row r="35" spans="1:56" s="313" customFormat="1"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</row>
    <row r="36" spans="1:56" s="313" customFormat="1"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</row>
    <row r="37" spans="1:56" s="313" customFormat="1"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</row>
    <row r="38" spans="1:56" s="313" customFormat="1"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</row>
    <row r="39" spans="1:56" s="313" customFormat="1"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</row>
    <row r="40" spans="1:56" s="313" customFormat="1"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</row>
    <row r="41" spans="1:56">
      <c r="AA41" s="271"/>
    </row>
    <row r="42" spans="1:56">
      <c r="AA42" s="271"/>
    </row>
    <row r="43" spans="1:56">
      <c r="AA43" s="271"/>
    </row>
    <row r="44" spans="1:56">
      <c r="AA44" s="273"/>
    </row>
    <row r="45" spans="1:56">
      <c r="AA45" s="273"/>
    </row>
    <row r="46" spans="1:56" s="315" customFormat="1"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</row>
    <row r="47" spans="1:56" s="315" customFormat="1" ht="12.75" customHeight="1">
      <c r="A47" s="316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</row>
    <row r="48" spans="1:56" s="315" customFormat="1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</row>
    <row r="49" spans="1:56" s="315" customFormat="1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</row>
    <row r="50" spans="1:56" s="315" customFormat="1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</row>
    <row r="51" spans="1:56" s="315" customFormat="1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</row>
    <row r="52" spans="1:56" s="315" customFormat="1"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7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</row>
    <row r="53" spans="1:56" s="315" customFormat="1"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7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</row>
    <row r="54" spans="1:56" s="315" customFormat="1"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7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</row>
    <row r="55" spans="1:56" s="315" customFormat="1"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7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</row>
    <row r="56" spans="1:56" s="315" customFormat="1"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7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</row>
    <row r="57" spans="1:56" s="315" customFormat="1"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7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</row>
    <row r="58" spans="1:56" s="315" customFormat="1"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7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</row>
    <row r="59" spans="1:56" s="315" customFormat="1"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7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</row>
    <row r="60" spans="1:56" s="315" customFormat="1">
      <c r="AA60" s="318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</row>
  </sheetData>
  <sheetProtection formatCells="0" formatColumns="0" formatRows="0" insertColumns="0" insertRows="0" insertHyperlinks="0" deleteColumns="0" deleteRows="0" sort="0" autoFilter="0" pivotTables="0"/>
  <protectedRanges>
    <protectedRange sqref="K12 G8" name="Tartomány4"/>
    <protectedRange sqref="J11" name="Tartomány3"/>
    <protectedRange sqref="I10" name="Tartomány2"/>
    <protectedRange sqref="H9" name="Tartomány1"/>
    <protectedRange sqref="C7:E7" name="Tartomány6"/>
  </protectedRanges>
  <mergeCells count="28">
    <mergeCell ref="A6:B6"/>
    <mergeCell ref="W3:W5"/>
    <mergeCell ref="X3:X5"/>
    <mergeCell ref="Y3:Y5"/>
    <mergeCell ref="Z3:Z5"/>
    <mergeCell ref="AA3:AA5"/>
    <mergeCell ref="C4:C5"/>
    <mergeCell ref="D4:D5"/>
    <mergeCell ref="E4:E5"/>
    <mergeCell ref="F4:F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A3:B5"/>
    <mergeCell ref="C3:F3"/>
    <mergeCell ref="G3:G5"/>
    <mergeCell ref="H3:H5"/>
    <mergeCell ref="I3:I5"/>
    <mergeCell ref="J3:J5"/>
  </mergeCells>
  <printOptions horizontalCentered="1" verticalCentered="1"/>
  <pageMargins left="0" right="0" top="0.59055118110236227" bottom="0.78740157480314965" header="0.51181102362204722" footer="0.31496062992125984"/>
  <pageSetup paperSize="9" scale="43" orientation="landscape" r:id="rId1"/>
  <headerFooter alignWithMargins="0">
    <oddHeader>&amp;LSzent István Egyetem&amp;CADATLAP</oddHeader>
    <oddFooter>&amp;L&amp;"Times New Roman CE,Normál"Dátum: Gödöllő, 2017. február 28.&amp;CPH&amp;R&amp;"Times New Roman CE,Normál"............................................................
Figler Kálmán kancellár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Normal="100" workbookViewId="0">
      <pane xSplit="3" ySplit="5" topLeftCell="D33" activePane="bottomRight" state="frozen"/>
      <selection pane="topRight" activeCell="D1" sqref="D1"/>
      <selection pane="bottomLeft" activeCell="A7" sqref="A7"/>
      <selection pane="bottomRight" activeCell="E57" sqref="E57"/>
    </sheetView>
  </sheetViews>
  <sheetFormatPr defaultRowHeight="12.75"/>
  <cols>
    <col min="1" max="1" width="9.140625" style="1"/>
    <col min="2" max="2" width="10.7109375" style="1" customWidth="1"/>
    <col min="3" max="3" width="49" style="1" customWidth="1"/>
    <col min="4" max="6" width="20" style="1" customWidth="1"/>
    <col min="7" max="7" width="2.7109375" style="1" customWidth="1"/>
    <col min="8" max="8" width="20" style="1" customWidth="1"/>
    <col min="9" max="9" width="22.85546875" style="1" customWidth="1"/>
    <col min="10" max="10" width="15.5703125" style="1" customWidth="1"/>
    <col min="11" max="11" width="9.85546875" style="1" customWidth="1"/>
    <col min="12" max="16384" width="9.140625" style="1"/>
  </cols>
  <sheetData>
    <row r="1" spans="1:13" ht="15.75">
      <c r="B1" s="235" t="s">
        <v>146</v>
      </c>
      <c r="C1" s="235"/>
      <c r="D1" s="235"/>
      <c r="E1" s="235"/>
      <c r="F1" s="235"/>
      <c r="G1" s="236"/>
      <c r="J1" s="71" t="s">
        <v>79</v>
      </c>
    </row>
    <row r="2" spans="1:13" ht="13.5" thickBot="1">
      <c r="C2" s="16"/>
      <c r="F2" s="71" t="s">
        <v>27</v>
      </c>
      <c r="G2" s="236"/>
      <c r="J2" s="71" t="s">
        <v>27</v>
      </c>
    </row>
    <row r="3" spans="1:13" s="77" customFormat="1" ht="12.75" customHeight="1">
      <c r="A3" s="78"/>
      <c r="B3" s="158"/>
      <c r="C3" s="159"/>
      <c r="D3" s="237" t="s">
        <v>147</v>
      </c>
      <c r="E3" s="238"/>
      <c r="F3" s="239"/>
      <c r="G3" s="236"/>
      <c r="H3" s="242" t="s">
        <v>148</v>
      </c>
      <c r="I3" s="243"/>
      <c r="J3" s="244"/>
      <c r="K3" s="1"/>
      <c r="L3" s="1"/>
      <c r="M3" s="1"/>
    </row>
    <row r="4" spans="1:13" s="16" customFormat="1" ht="12.75" customHeight="1">
      <c r="B4" s="160"/>
      <c r="C4" s="161"/>
      <c r="D4" s="240"/>
      <c r="E4" s="240"/>
      <c r="F4" s="241"/>
      <c r="G4" s="236"/>
      <c r="H4" s="245"/>
      <c r="I4" s="246"/>
      <c r="J4" s="247"/>
      <c r="K4" s="1"/>
      <c r="L4" s="1"/>
      <c r="M4" s="1"/>
    </row>
    <row r="5" spans="1:13" ht="51" customHeight="1">
      <c r="B5" s="248" t="s">
        <v>133</v>
      </c>
      <c r="C5" s="249"/>
      <c r="D5" s="162" t="s">
        <v>66</v>
      </c>
      <c r="E5" s="162" t="s">
        <v>67</v>
      </c>
      <c r="F5" s="163" t="s">
        <v>60</v>
      </c>
      <c r="G5" s="236"/>
      <c r="H5" s="164" t="s">
        <v>66</v>
      </c>
      <c r="I5" s="212" t="s">
        <v>67</v>
      </c>
      <c r="J5" s="165" t="s">
        <v>60</v>
      </c>
    </row>
    <row r="6" spans="1:13" ht="13.5" customHeight="1">
      <c r="B6" s="250" t="s">
        <v>130</v>
      </c>
      <c r="C6" s="125" t="s">
        <v>80</v>
      </c>
      <c r="D6" s="95">
        <v>8814.8174478000001</v>
      </c>
      <c r="E6" s="127"/>
      <c r="F6" s="166"/>
      <c r="G6" s="236"/>
      <c r="H6" s="167">
        <v>12235.4325522</v>
      </c>
      <c r="I6" s="127"/>
      <c r="J6" s="166"/>
    </row>
    <row r="7" spans="1:13">
      <c r="B7" s="251"/>
      <c r="C7" s="125" t="s">
        <v>81</v>
      </c>
      <c r="D7" s="95">
        <v>7147.5804825599989</v>
      </c>
      <c r="E7" s="127"/>
      <c r="F7" s="166"/>
      <c r="G7" s="236"/>
      <c r="H7" s="167">
        <v>9921.2195174400003</v>
      </c>
      <c r="I7" s="127"/>
      <c r="J7" s="166"/>
    </row>
    <row r="8" spans="1:13" ht="12.75" customHeight="1">
      <c r="B8" s="251"/>
      <c r="C8" s="125" t="s">
        <v>82</v>
      </c>
      <c r="D8" s="95">
        <v>9283.877416968</v>
      </c>
      <c r="E8" s="127"/>
      <c r="F8" s="166"/>
      <c r="G8" s="236"/>
      <c r="H8" s="167">
        <v>12886.512583031999</v>
      </c>
      <c r="I8" s="127"/>
      <c r="J8" s="166"/>
    </row>
    <row r="9" spans="1:13">
      <c r="B9" s="251"/>
      <c r="C9" s="125" t="s">
        <v>83</v>
      </c>
      <c r="D9" s="95">
        <v>44606.433077023998</v>
      </c>
      <c r="E9" s="127"/>
      <c r="F9" s="166"/>
      <c r="G9" s="236"/>
      <c r="H9" s="167">
        <v>61916.086922976006</v>
      </c>
      <c r="I9" s="127"/>
      <c r="J9" s="166"/>
    </row>
    <row r="10" spans="1:13">
      <c r="B10" s="251"/>
      <c r="C10" s="125" t="s">
        <v>84</v>
      </c>
      <c r="D10" s="95">
        <v>11296.793497807999</v>
      </c>
      <c r="E10" s="127"/>
      <c r="F10" s="166"/>
      <c r="G10" s="236"/>
      <c r="H10" s="167">
        <v>15680.546502192001</v>
      </c>
      <c r="I10" s="127"/>
      <c r="J10" s="166"/>
    </row>
    <row r="11" spans="1:13">
      <c r="B11" s="251"/>
      <c r="C11" s="125" t="s">
        <v>85</v>
      </c>
      <c r="D11" s="95">
        <v>1392.289114832</v>
      </c>
      <c r="E11" s="127"/>
      <c r="F11" s="166"/>
      <c r="G11" s="236"/>
      <c r="H11" s="167">
        <v>1932.5708851680001</v>
      </c>
      <c r="I11" s="127"/>
      <c r="J11" s="166"/>
    </row>
    <row r="12" spans="1:13">
      <c r="B12" s="251"/>
      <c r="C12" s="126" t="s">
        <v>86</v>
      </c>
      <c r="D12" s="95">
        <v>7535.8047200800011</v>
      </c>
      <c r="E12" s="127"/>
      <c r="F12" s="166"/>
      <c r="G12" s="236"/>
      <c r="H12" s="167">
        <v>10460.09527992</v>
      </c>
      <c r="I12" s="127"/>
      <c r="J12" s="166"/>
    </row>
    <row r="13" spans="1:13" s="16" customFormat="1">
      <c r="B13" s="251"/>
      <c r="C13" s="125" t="s">
        <v>87</v>
      </c>
      <c r="D13" s="95">
        <v>27813.873455200002</v>
      </c>
      <c r="E13" s="127"/>
      <c r="F13" s="166"/>
      <c r="G13" s="236"/>
      <c r="H13" s="167">
        <v>38607.126544799998</v>
      </c>
      <c r="I13" s="127"/>
      <c r="J13" s="166"/>
      <c r="K13" s="1"/>
      <c r="L13" s="1"/>
      <c r="M13" s="1"/>
    </row>
    <row r="14" spans="1:13" s="16" customFormat="1">
      <c r="B14" s="251"/>
      <c r="C14" s="125" t="s">
        <v>88</v>
      </c>
      <c r="D14" s="95">
        <v>1497.5882915840002</v>
      </c>
      <c r="E14" s="127"/>
      <c r="F14" s="166"/>
      <c r="G14" s="236"/>
      <c r="H14" s="167">
        <v>2078.7317084159999</v>
      </c>
      <c r="I14" s="127"/>
      <c r="J14" s="166"/>
      <c r="K14" s="1"/>
      <c r="L14" s="1"/>
      <c r="M14" s="1"/>
    </row>
    <row r="15" spans="1:13" s="16" customFormat="1">
      <c r="B15" s="251"/>
      <c r="C15" s="125" t="s">
        <v>89</v>
      </c>
      <c r="D15" s="95">
        <v>1015.7647858399998</v>
      </c>
      <c r="E15" s="127"/>
      <c r="F15" s="166"/>
      <c r="G15" s="236"/>
      <c r="H15" s="167">
        <v>1409.93521416</v>
      </c>
      <c r="I15" s="127"/>
      <c r="J15" s="166"/>
      <c r="K15" s="1"/>
      <c r="L15" s="1"/>
      <c r="M15" s="1"/>
    </row>
    <row r="16" spans="1:13" s="16" customFormat="1">
      <c r="B16" s="251"/>
      <c r="C16" s="125" t="s">
        <v>90</v>
      </c>
      <c r="D16" s="95">
        <v>0</v>
      </c>
      <c r="E16" s="127"/>
      <c r="F16" s="166"/>
      <c r="G16" s="236"/>
      <c r="H16" s="167">
        <v>0</v>
      </c>
      <c r="I16" s="127"/>
      <c r="J16" s="166"/>
      <c r="K16" s="1"/>
      <c r="L16" s="1"/>
      <c r="M16" s="1"/>
    </row>
    <row r="17" spans="2:13" s="16" customFormat="1">
      <c r="B17" s="251"/>
      <c r="C17" s="125" t="s">
        <v>91</v>
      </c>
      <c r="D17" s="95">
        <v>14954.078540855997</v>
      </c>
      <c r="E17" s="127"/>
      <c r="F17" s="166"/>
      <c r="G17" s="236"/>
      <c r="H17" s="167">
        <v>20757.051459144001</v>
      </c>
      <c r="I17" s="127"/>
      <c r="J17" s="166"/>
      <c r="K17" s="1"/>
      <c r="L17" s="1"/>
      <c r="M17" s="1"/>
    </row>
    <row r="18" spans="2:13" s="16" customFormat="1">
      <c r="B18" s="251"/>
      <c r="C18" s="125" t="s">
        <v>92</v>
      </c>
      <c r="D18" s="95">
        <v>730.18065495200005</v>
      </c>
      <c r="E18" s="127"/>
      <c r="F18" s="166"/>
      <c r="G18" s="236"/>
      <c r="H18" s="167">
        <v>1013.529345048</v>
      </c>
      <c r="I18" s="127"/>
      <c r="J18" s="166"/>
      <c r="K18" s="1"/>
      <c r="L18" s="1"/>
      <c r="M18" s="1"/>
    </row>
    <row r="19" spans="2:13">
      <c r="B19" s="251"/>
      <c r="C19" s="125" t="s">
        <v>93</v>
      </c>
      <c r="D19" s="95">
        <v>3027.6172386320004</v>
      </c>
      <c r="E19" s="127"/>
      <c r="F19" s="166"/>
      <c r="G19" s="236"/>
      <c r="H19" s="167">
        <v>4202.4927613680002</v>
      </c>
      <c r="I19" s="127"/>
      <c r="J19" s="166"/>
    </row>
    <row r="20" spans="2:13">
      <c r="B20" s="251"/>
      <c r="C20" s="125" t="s">
        <v>94</v>
      </c>
      <c r="D20" s="95">
        <v>1216.790486912</v>
      </c>
      <c r="E20" s="127"/>
      <c r="F20" s="166"/>
      <c r="G20" s="236"/>
      <c r="H20" s="167">
        <v>1688.9695130880002</v>
      </c>
      <c r="I20" s="127"/>
      <c r="J20" s="166"/>
    </row>
    <row r="21" spans="2:13">
      <c r="B21" s="251"/>
      <c r="C21" s="126" t="s">
        <v>95</v>
      </c>
      <c r="D21" s="95">
        <v>125.50810966400002</v>
      </c>
      <c r="E21" s="127"/>
      <c r="F21" s="166"/>
      <c r="G21" s="236"/>
      <c r="H21" s="167">
        <v>174.21189033600001</v>
      </c>
      <c r="I21" s="127"/>
      <c r="J21" s="166"/>
    </row>
    <row r="22" spans="2:13">
      <c r="B22" s="251"/>
      <c r="C22" s="125" t="s">
        <v>96</v>
      </c>
      <c r="D22" s="95">
        <v>2110.2380472319996</v>
      </c>
      <c r="E22" s="127"/>
      <c r="F22" s="166"/>
      <c r="G22" s="236"/>
      <c r="H22" s="167">
        <v>2929.121952768</v>
      </c>
      <c r="I22" s="127"/>
      <c r="J22" s="166"/>
    </row>
    <row r="23" spans="2:13">
      <c r="B23" s="251"/>
      <c r="C23" s="125" t="s">
        <v>97</v>
      </c>
      <c r="D23" s="95">
        <v>2093.7518124879998</v>
      </c>
      <c r="E23" s="127"/>
      <c r="F23" s="166"/>
      <c r="G23" s="236"/>
      <c r="H23" s="167">
        <v>2906.238187512</v>
      </c>
      <c r="I23" s="127"/>
      <c r="J23" s="166"/>
    </row>
    <row r="24" spans="2:13" s="78" customFormat="1">
      <c r="B24" s="251"/>
      <c r="C24" s="125" t="s">
        <v>98</v>
      </c>
      <c r="D24" s="95">
        <v>0</v>
      </c>
      <c r="E24" s="127"/>
      <c r="F24" s="166"/>
      <c r="G24" s="236"/>
      <c r="H24" s="167">
        <v>0</v>
      </c>
      <c r="I24" s="127"/>
      <c r="J24" s="166"/>
      <c r="K24" s="1"/>
      <c r="L24" s="1"/>
      <c r="M24" s="1"/>
    </row>
    <row r="25" spans="2:13" s="78" customFormat="1" ht="12.75" customHeight="1">
      <c r="B25" s="251"/>
      <c r="C25" s="125" t="s">
        <v>99</v>
      </c>
      <c r="D25" s="95">
        <v>282.92506076799998</v>
      </c>
      <c r="E25" s="127"/>
      <c r="F25" s="166"/>
      <c r="G25" s="236"/>
      <c r="H25" s="167">
        <v>392.71493923200001</v>
      </c>
      <c r="I25" s="127"/>
      <c r="J25" s="166"/>
      <c r="K25" s="1"/>
      <c r="L25" s="1"/>
      <c r="M25" s="1"/>
    </row>
    <row r="26" spans="2:13" s="78" customFormat="1">
      <c r="B26" s="251"/>
      <c r="C26" s="125" t="s">
        <v>100</v>
      </c>
      <c r="D26" s="95">
        <v>1896.4488095839997</v>
      </c>
      <c r="E26" s="127"/>
      <c r="F26" s="166"/>
      <c r="G26" s="236"/>
      <c r="H26" s="167">
        <v>2632.371190416</v>
      </c>
      <c r="I26" s="127"/>
      <c r="J26" s="166"/>
      <c r="K26" s="1"/>
      <c r="L26" s="1"/>
      <c r="M26" s="1"/>
    </row>
    <row r="27" spans="2:13" s="78" customFormat="1">
      <c r="B27" s="251"/>
      <c r="C27" s="125" t="s">
        <v>101</v>
      </c>
      <c r="D27" s="95">
        <v>0</v>
      </c>
      <c r="E27" s="127"/>
      <c r="F27" s="166"/>
      <c r="G27" s="236"/>
      <c r="H27" s="167">
        <v>0</v>
      </c>
      <c r="I27" s="127"/>
      <c r="J27" s="166"/>
      <c r="K27" s="1"/>
      <c r="L27" s="1"/>
      <c r="M27" s="1"/>
    </row>
    <row r="28" spans="2:13" s="78" customFormat="1">
      <c r="B28" s="251"/>
      <c r="C28" s="125" t="s">
        <v>102</v>
      </c>
      <c r="D28" s="95">
        <v>3646.6487625679993</v>
      </c>
      <c r="E28" s="127"/>
      <c r="F28" s="166"/>
      <c r="G28" s="236"/>
      <c r="H28" s="167">
        <v>5061.7412374320002</v>
      </c>
      <c r="I28" s="127"/>
      <c r="J28" s="166"/>
      <c r="K28" s="1"/>
      <c r="L28" s="1"/>
      <c r="M28" s="1"/>
    </row>
    <row r="29" spans="2:13" s="78" customFormat="1">
      <c r="B29" s="251"/>
      <c r="C29" s="125" t="s">
        <v>131</v>
      </c>
      <c r="D29" s="95">
        <v>513.20053315999996</v>
      </c>
      <c r="E29" s="127"/>
      <c r="F29" s="166"/>
      <c r="G29" s="236"/>
      <c r="H29" s="167">
        <v>712.34946683999999</v>
      </c>
      <c r="I29" s="127"/>
      <c r="J29" s="166"/>
      <c r="K29" s="1"/>
      <c r="L29" s="1"/>
      <c r="M29" s="1"/>
    </row>
    <row r="30" spans="2:13" s="78" customFormat="1">
      <c r="B30" s="251"/>
      <c r="C30" s="125" t="s">
        <v>132</v>
      </c>
      <c r="D30" s="95">
        <v>0</v>
      </c>
      <c r="E30" s="127"/>
      <c r="F30" s="166"/>
      <c r="G30" s="236"/>
      <c r="H30" s="167">
        <v>0</v>
      </c>
      <c r="I30" s="127"/>
      <c r="J30" s="166"/>
      <c r="K30" s="1"/>
      <c r="L30" s="1"/>
      <c r="M30" s="1"/>
    </row>
    <row r="31" spans="2:13" s="78" customFormat="1">
      <c r="B31" s="250" t="s">
        <v>134</v>
      </c>
      <c r="C31" s="125" t="s">
        <v>104</v>
      </c>
      <c r="D31" s="95">
        <v>209.53472545599999</v>
      </c>
      <c r="E31" s="127"/>
      <c r="F31" s="166"/>
      <c r="G31" s="236"/>
      <c r="H31" s="167">
        <v>290.84527454400001</v>
      </c>
      <c r="I31" s="127"/>
      <c r="J31" s="166"/>
      <c r="K31" s="1"/>
      <c r="L31" s="1"/>
      <c r="M31" s="1"/>
    </row>
    <row r="32" spans="2:13" s="78" customFormat="1">
      <c r="B32" s="251"/>
      <c r="C32" s="125" t="s">
        <v>105</v>
      </c>
      <c r="D32" s="95">
        <v>0</v>
      </c>
      <c r="E32" s="127"/>
      <c r="F32" s="166"/>
      <c r="G32" s="236"/>
      <c r="H32" s="167">
        <v>0</v>
      </c>
      <c r="I32" s="127"/>
      <c r="J32" s="166"/>
      <c r="K32" s="1"/>
      <c r="L32" s="1"/>
      <c r="M32" s="1"/>
    </row>
    <row r="33" spans="2:13" s="78" customFormat="1" ht="13.5" customHeight="1">
      <c r="B33" s="251"/>
      <c r="C33" s="125" t="s">
        <v>106</v>
      </c>
      <c r="D33" s="95">
        <v>333.44739304799998</v>
      </c>
      <c r="E33" s="127"/>
      <c r="F33" s="166"/>
      <c r="G33" s="236"/>
      <c r="H33" s="167">
        <v>462.84260695199998</v>
      </c>
      <c r="I33" s="127"/>
      <c r="J33" s="166"/>
      <c r="K33" s="1"/>
      <c r="L33" s="1"/>
      <c r="M33" s="1"/>
    </row>
    <row r="34" spans="2:13" s="78" customFormat="1">
      <c r="B34" s="251"/>
      <c r="C34" s="125" t="s">
        <v>107</v>
      </c>
      <c r="D34" s="95">
        <v>2149.5922850080001</v>
      </c>
      <c r="E34" s="127"/>
      <c r="F34" s="166"/>
      <c r="G34" s="236"/>
      <c r="H34" s="167">
        <v>2983.7477149920001</v>
      </c>
      <c r="I34" s="127"/>
      <c r="J34" s="166"/>
      <c r="K34" s="1"/>
      <c r="L34" s="1"/>
      <c r="M34" s="1"/>
    </row>
    <row r="35" spans="2:13" s="78" customFormat="1">
      <c r="B35" s="251"/>
      <c r="C35" s="125" t="s">
        <v>108</v>
      </c>
      <c r="D35" s="95">
        <v>484.48257586399995</v>
      </c>
      <c r="E35" s="127"/>
      <c r="F35" s="166"/>
      <c r="G35" s="236"/>
      <c r="H35" s="167">
        <v>672.48742413600007</v>
      </c>
      <c r="I35" s="127"/>
      <c r="J35" s="166"/>
      <c r="K35" s="1"/>
      <c r="L35" s="1"/>
      <c r="M35" s="1"/>
    </row>
    <row r="36" spans="2:13" s="78" customFormat="1">
      <c r="B36" s="251"/>
      <c r="C36" s="125" t="s">
        <v>109</v>
      </c>
      <c r="D36" s="95">
        <v>70.19945116800001</v>
      </c>
      <c r="E36" s="127"/>
      <c r="F36" s="166"/>
      <c r="G36" s="236"/>
      <c r="H36" s="167">
        <v>97.440548832000005</v>
      </c>
      <c r="I36" s="127"/>
      <c r="J36" s="166"/>
      <c r="K36" s="1"/>
      <c r="L36" s="1"/>
      <c r="M36" s="1"/>
    </row>
    <row r="37" spans="2:13">
      <c r="B37" s="251"/>
      <c r="C37" s="125" t="s">
        <v>110</v>
      </c>
      <c r="D37" s="95">
        <v>3789.7067350240004</v>
      </c>
      <c r="E37" s="127"/>
      <c r="F37" s="166"/>
      <c r="G37" s="236"/>
      <c r="H37" s="167">
        <v>5260.313264976</v>
      </c>
      <c r="I37" s="127"/>
      <c r="J37" s="166"/>
    </row>
    <row r="38" spans="2:13">
      <c r="B38" s="251"/>
      <c r="C38" s="125" t="s">
        <v>111</v>
      </c>
      <c r="D38" s="95">
        <v>2717.5696626399999</v>
      </c>
      <c r="E38" s="127"/>
      <c r="F38" s="166"/>
      <c r="G38" s="236"/>
      <c r="H38" s="167">
        <v>3772.1303373599999</v>
      </c>
      <c r="I38" s="127"/>
      <c r="J38" s="166"/>
    </row>
    <row r="39" spans="2:13">
      <c r="B39" s="250" t="s">
        <v>135</v>
      </c>
      <c r="C39" s="125" t="s">
        <v>112</v>
      </c>
      <c r="D39" s="95">
        <v>1873.580806552</v>
      </c>
      <c r="E39" s="127"/>
      <c r="F39" s="166"/>
      <c r="G39" s="236"/>
      <c r="H39" s="167">
        <v>2600.629193448</v>
      </c>
      <c r="I39" s="127"/>
      <c r="J39" s="166"/>
    </row>
    <row r="40" spans="2:13">
      <c r="B40" s="251"/>
      <c r="C40" s="125" t="s">
        <v>113</v>
      </c>
      <c r="D40" s="95">
        <v>0</v>
      </c>
      <c r="E40" s="127"/>
      <c r="F40" s="166"/>
      <c r="G40" s="236"/>
      <c r="H40" s="167">
        <v>0</v>
      </c>
      <c r="I40" s="127"/>
      <c r="J40" s="166"/>
    </row>
    <row r="41" spans="2:13" ht="13.5" customHeight="1">
      <c r="B41" s="251"/>
      <c r="C41" s="125" t="s">
        <v>114</v>
      </c>
      <c r="D41" s="95">
        <v>0</v>
      </c>
      <c r="E41" s="127"/>
      <c r="F41" s="166"/>
      <c r="G41" s="236"/>
      <c r="H41" s="167">
        <v>0</v>
      </c>
      <c r="I41" s="127"/>
      <c r="J41" s="166"/>
    </row>
    <row r="42" spans="2:13">
      <c r="B42" s="251"/>
      <c r="C42" s="125" t="s">
        <v>115</v>
      </c>
      <c r="D42" s="95">
        <v>1226.3631393439998</v>
      </c>
      <c r="E42" s="127"/>
      <c r="F42" s="166"/>
      <c r="G42" s="236"/>
      <c r="H42" s="167">
        <v>1702.2568606560001</v>
      </c>
      <c r="I42" s="127"/>
      <c r="J42" s="166"/>
    </row>
    <row r="43" spans="2:13">
      <c r="B43" s="251"/>
      <c r="C43" s="125" t="s">
        <v>116</v>
      </c>
      <c r="D43" s="95">
        <v>776.98028906400009</v>
      </c>
      <c r="E43" s="127"/>
      <c r="F43" s="166"/>
      <c r="G43" s="236"/>
      <c r="H43" s="167">
        <v>1078.4897109360002</v>
      </c>
      <c r="I43" s="127"/>
      <c r="J43" s="166"/>
    </row>
    <row r="44" spans="2:13">
      <c r="B44" s="251"/>
      <c r="C44" s="125" t="s">
        <v>117</v>
      </c>
      <c r="D44" s="95">
        <v>1768.8134438239999</v>
      </c>
      <c r="E44" s="127"/>
      <c r="F44" s="166"/>
      <c r="G44" s="236"/>
      <c r="H44" s="167">
        <v>2455.2065561760005</v>
      </c>
      <c r="I44" s="127"/>
      <c r="J44" s="166"/>
    </row>
    <row r="45" spans="2:13">
      <c r="B45" s="251"/>
      <c r="C45" s="125" t="s">
        <v>118</v>
      </c>
      <c r="D45" s="95">
        <v>77.113033479999999</v>
      </c>
      <c r="E45" s="127"/>
      <c r="F45" s="166"/>
      <c r="G45" s="236"/>
      <c r="H45" s="167">
        <v>107.03696652000001</v>
      </c>
      <c r="I45" s="127"/>
      <c r="J45" s="166"/>
    </row>
    <row r="46" spans="2:13">
      <c r="B46" s="251"/>
      <c r="C46" s="125" t="s">
        <v>119</v>
      </c>
      <c r="D46" s="95">
        <v>352.06088388799998</v>
      </c>
      <c r="E46" s="127"/>
      <c r="F46" s="166"/>
      <c r="G46" s="236"/>
      <c r="H46" s="167">
        <v>488.67911611200003</v>
      </c>
      <c r="I46" s="127"/>
      <c r="J46" s="166"/>
    </row>
    <row r="47" spans="2:13">
      <c r="B47" s="251"/>
      <c r="C47" s="125" t="s">
        <v>120</v>
      </c>
      <c r="D47" s="95">
        <v>1080.646096768</v>
      </c>
      <c r="E47" s="127"/>
      <c r="F47" s="166"/>
      <c r="G47" s="236"/>
      <c r="H47" s="167">
        <v>1499.9939032319999</v>
      </c>
      <c r="I47" s="127"/>
      <c r="J47" s="166"/>
    </row>
    <row r="48" spans="2:13">
      <c r="B48" s="251"/>
      <c r="C48" s="125" t="s">
        <v>121</v>
      </c>
      <c r="D48" s="95">
        <v>0</v>
      </c>
      <c r="E48" s="127"/>
      <c r="F48" s="166"/>
      <c r="G48" s="236"/>
      <c r="H48" s="167">
        <v>0</v>
      </c>
      <c r="I48" s="127"/>
      <c r="J48" s="166"/>
    </row>
    <row r="49" spans="2:10">
      <c r="B49" s="251"/>
      <c r="C49" s="125" t="s">
        <v>122</v>
      </c>
      <c r="D49" s="95">
        <v>263.24794187999998</v>
      </c>
      <c r="E49" s="127"/>
      <c r="F49" s="166"/>
      <c r="G49" s="236"/>
      <c r="H49" s="167">
        <v>365.40205811999999</v>
      </c>
      <c r="I49" s="127"/>
      <c r="J49" s="166"/>
    </row>
    <row r="50" spans="2:10">
      <c r="B50" s="251"/>
      <c r="C50" s="125" t="s">
        <v>123</v>
      </c>
      <c r="D50" s="95">
        <v>0</v>
      </c>
      <c r="E50" s="127"/>
      <c r="F50" s="166"/>
      <c r="G50" s="236"/>
      <c r="H50" s="167">
        <v>0</v>
      </c>
      <c r="I50" s="127"/>
      <c r="J50" s="166"/>
    </row>
    <row r="51" spans="2:10">
      <c r="B51" s="251"/>
      <c r="C51" s="125" t="s">
        <v>124</v>
      </c>
      <c r="D51" s="95">
        <v>2481.444235984</v>
      </c>
      <c r="E51" s="127"/>
      <c r="F51" s="166"/>
      <c r="G51" s="236"/>
      <c r="H51" s="167">
        <v>3444.3757640159997</v>
      </c>
      <c r="I51" s="127"/>
      <c r="J51" s="166"/>
    </row>
    <row r="52" spans="2:10">
      <c r="B52" s="251"/>
      <c r="C52" s="125" t="s">
        <v>125</v>
      </c>
      <c r="D52" s="95">
        <v>176.03044194399999</v>
      </c>
      <c r="E52" s="127"/>
      <c r="F52" s="166"/>
      <c r="G52" s="236"/>
      <c r="H52" s="167">
        <v>244.33955805600002</v>
      </c>
      <c r="I52" s="127"/>
      <c r="J52" s="166"/>
    </row>
    <row r="53" spans="2:10">
      <c r="B53" s="251"/>
      <c r="C53" s="125" t="s">
        <v>126</v>
      </c>
      <c r="D53" s="95">
        <v>0</v>
      </c>
      <c r="E53" s="127"/>
      <c r="F53" s="166"/>
      <c r="G53" s="236"/>
      <c r="H53" s="167">
        <v>0</v>
      </c>
      <c r="I53" s="127"/>
      <c r="J53" s="166"/>
    </row>
    <row r="54" spans="2:10">
      <c r="B54" s="251"/>
      <c r="C54" s="125" t="s">
        <v>127</v>
      </c>
      <c r="D54" s="95">
        <v>310.04757599199996</v>
      </c>
      <c r="E54" s="127"/>
      <c r="F54" s="166"/>
      <c r="G54" s="236"/>
      <c r="H54" s="167">
        <v>430.362424008</v>
      </c>
      <c r="I54" s="127"/>
      <c r="J54" s="166"/>
    </row>
    <row r="55" spans="2:10">
      <c r="B55" s="251"/>
      <c r="C55" s="125" t="s">
        <v>128</v>
      </c>
      <c r="D55" s="95">
        <v>176.03044194399999</v>
      </c>
      <c r="E55" s="127"/>
      <c r="F55" s="166"/>
      <c r="G55" s="236"/>
      <c r="H55" s="167">
        <v>244.33955805600002</v>
      </c>
      <c r="I55" s="127"/>
      <c r="J55" s="166"/>
    </row>
    <row r="56" spans="2:10">
      <c r="B56" s="251"/>
      <c r="C56" s="125" t="s">
        <v>129</v>
      </c>
      <c r="D56" s="95">
        <v>0</v>
      </c>
      <c r="E56" s="127"/>
      <c r="F56" s="166"/>
      <c r="G56" s="236"/>
      <c r="H56" s="167">
        <v>0</v>
      </c>
      <c r="I56" s="127"/>
      <c r="J56" s="166"/>
    </row>
    <row r="57" spans="2:10" ht="19.5" customHeight="1" thickBot="1">
      <c r="B57" s="168"/>
      <c r="C57" s="169" t="s">
        <v>103</v>
      </c>
      <c r="D57" s="170">
        <f>SUM(D6:D56)</f>
        <v>171319.10150538402</v>
      </c>
      <c r="E57" s="170">
        <v>232414</v>
      </c>
      <c r="F57" s="171">
        <f>E57-D57</f>
        <v>61094.898494615976</v>
      </c>
      <c r="G57" s="236"/>
      <c r="H57" s="172">
        <v>237799.96849461604</v>
      </c>
      <c r="I57" s="170">
        <v>237800</v>
      </c>
      <c r="J57" s="171">
        <f>I57-H57</f>
        <v>3.1505383958574384E-2</v>
      </c>
    </row>
    <row r="61" spans="2:10" ht="15">
      <c r="E61" s="173"/>
    </row>
    <row r="62" spans="2:10" ht="15">
      <c r="E62" s="174"/>
    </row>
  </sheetData>
  <sheetProtection formatCells="0" formatColumns="0" formatRows="0" insertColumns="0" insertRows="0" insertHyperlinks="0" deleteColumns="0" deleteRows="0" sort="0" autoFilter="0" pivotTables="0"/>
  <mergeCells count="8">
    <mergeCell ref="B1:F1"/>
    <mergeCell ref="G1:G57"/>
    <mergeCell ref="D3:F4"/>
    <mergeCell ref="H3:J4"/>
    <mergeCell ref="B5:C5"/>
    <mergeCell ref="B6:B30"/>
    <mergeCell ref="B31:B38"/>
    <mergeCell ref="B39:B56"/>
  </mergeCells>
  <printOptions horizontalCentered="1" verticalCentered="1"/>
  <pageMargins left="0" right="0" top="0.78740157480314965" bottom="0.78740157480314965" header="0.51181102362204722" footer="0.31496062992125984"/>
  <pageSetup paperSize="8" scale="90" orientation="landscape" r:id="rId1"/>
  <headerFooter alignWithMargins="0">
    <oddHeader>&amp;LSzent István Egyetem&amp;CADATLAP</oddHeader>
    <oddFooter>&amp;L&amp;"Times New Roman CE,Normál"Dátum: Gödöllő, 2017. február 28.&amp;CPH&amp;R&amp;"Times New Roman CE,Normál"............................................................
Figler Kálmán kancellár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opLeftCell="A4" zoomScaleNormal="100" workbookViewId="0">
      <selection activeCell="D32" sqref="D32"/>
    </sheetView>
  </sheetViews>
  <sheetFormatPr defaultRowHeight="12.75"/>
  <cols>
    <col min="1" max="1" width="7.5703125" style="1" customWidth="1"/>
    <col min="2" max="2" width="47.140625" style="1" customWidth="1"/>
    <col min="3" max="7" width="15.7109375" style="1" customWidth="1"/>
    <col min="8" max="8" width="7.85546875" style="1" customWidth="1"/>
    <col min="9" max="9" width="16.42578125" style="1" customWidth="1"/>
    <col min="10" max="10" width="9.85546875" style="1" customWidth="1"/>
    <col min="11" max="11" width="8.42578125" style="1" customWidth="1"/>
    <col min="12" max="13" width="8.140625" style="1" customWidth="1"/>
    <col min="14" max="15" width="9.85546875" style="1" customWidth="1"/>
    <col min="16" max="16" width="8.5703125" style="1" customWidth="1"/>
    <col min="17" max="17" width="8.140625" style="1" customWidth="1"/>
    <col min="18" max="20" width="9.85546875" style="1" customWidth="1"/>
    <col min="21" max="21" width="8.42578125" style="1" customWidth="1"/>
    <col min="22" max="22" width="8" style="1" customWidth="1"/>
    <col min="23" max="16384" width="9.140625" style="1"/>
  </cols>
  <sheetData>
    <row r="1" spans="1:23" ht="15.75">
      <c r="B1" s="70" t="s">
        <v>32</v>
      </c>
    </row>
    <row r="2" spans="1:23" s="72" customFormat="1" ht="12" customHeight="1">
      <c r="A2" s="1"/>
      <c r="B2" s="1"/>
      <c r="C2" s="1"/>
      <c r="D2" s="1"/>
      <c r="E2" s="1"/>
      <c r="F2" s="1"/>
      <c r="G2" s="71" t="s">
        <v>33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s="73" customFormat="1" ht="12" customHeight="1">
      <c r="A3" s="1"/>
      <c r="B3" s="1"/>
      <c r="C3" s="1"/>
      <c r="D3" s="1"/>
      <c r="E3" s="1"/>
      <c r="F3" s="1"/>
      <c r="G3" s="71" t="s">
        <v>27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s="73" customFormat="1" ht="35.25" customHeight="1">
      <c r="B4" s="255" t="s">
        <v>34</v>
      </c>
      <c r="C4" s="256"/>
      <c r="D4" s="256"/>
      <c r="E4" s="256"/>
      <c r="F4" s="256"/>
      <c r="G4" s="25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>
      <c r="B5" s="258"/>
      <c r="C5" s="259"/>
      <c r="D5" s="259"/>
      <c r="E5" s="259"/>
      <c r="F5" s="259"/>
      <c r="G5" s="260"/>
    </row>
    <row r="6" spans="1:23" ht="12.75" customHeight="1">
      <c r="B6" s="261" t="s">
        <v>35</v>
      </c>
      <c r="C6" s="263" t="s">
        <v>54</v>
      </c>
      <c r="D6" s="264"/>
      <c r="E6" s="264"/>
      <c r="F6" s="265"/>
      <c r="G6" s="266" t="s">
        <v>60</v>
      </c>
    </row>
    <row r="7" spans="1:23" ht="81.75" customHeight="1">
      <c r="B7" s="262"/>
      <c r="C7" s="80" t="s">
        <v>55</v>
      </c>
      <c r="D7" s="80" t="s">
        <v>56</v>
      </c>
      <c r="E7" s="79" t="s">
        <v>36</v>
      </c>
      <c r="F7" s="79" t="s">
        <v>57</v>
      </c>
      <c r="G7" s="267"/>
    </row>
    <row r="8" spans="1:23" ht="15" customHeight="1" thickBot="1">
      <c r="B8" s="111" t="s">
        <v>37</v>
      </c>
      <c r="C8" s="111" t="s">
        <v>38</v>
      </c>
      <c r="D8" s="111" t="s">
        <v>39</v>
      </c>
      <c r="E8" s="111" t="s">
        <v>58</v>
      </c>
      <c r="F8" s="111" t="s">
        <v>59</v>
      </c>
      <c r="G8" s="111" t="s">
        <v>52</v>
      </c>
    </row>
    <row r="9" spans="1:23" ht="15" customHeight="1" thickTop="1">
      <c r="B9" s="268" t="s">
        <v>40</v>
      </c>
      <c r="C9" s="269"/>
      <c r="D9" s="269"/>
      <c r="E9" s="269"/>
      <c r="F9" s="269"/>
      <c r="G9" s="270"/>
    </row>
    <row r="10" spans="1:23" ht="15" customHeight="1">
      <c r="B10" s="95" t="s">
        <v>149</v>
      </c>
      <c r="C10" s="95"/>
      <c r="D10" s="95">
        <v>181397</v>
      </c>
      <c r="E10" s="96">
        <f>$D10/2</f>
        <v>90698.5</v>
      </c>
      <c r="F10" s="129"/>
      <c r="G10" s="129"/>
    </row>
    <row r="11" spans="1:23" ht="15" customHeight="1">
      <c r="B11" s="95" t="s">
        <v>41</v>
      </c>
      <c r="C11" s="95"/>
      <c r="D11" s="95"/>
      <c r="E11" s="96">
        <f t="shared" ref="E11:E12" si="0">$D11/2</f>
        <v>0</v>
      </c>
      <c r="F11" s="129"/>
      <c r="G11" s="129"/>
    </row>
    <row r="12" spans="1:23" ht="15" customHeight="1">
      <c r="B12" s="95" t="s">
        <v>42</v>
      </c>
      <c r="C12" s="95"/>
      <c r="D12" s="95"/>
      <c r="E12" s="96">
        <f t="shared" si="0"/>
        <v>0</v>
      </c>
      <c r="F12" s="129"/>
      <c r="G12" s="129"/>
      <c r="I12" s="97"/>
    </row>
    <row r="13" spans="1:23" ht="15" customHeight="1" thickBot="1">
      <c r="B13" s="112" t="s">
        <v>62</v>
      </c>
      <c r="C13" s="112">
        <v>90699</v>
      </c>
      <c r="D13" s="112">
        <f t="shared" ref="D13:E13" si="1">SUM(D10:D12)</f>
        <v>181397</v>
      </c>
      <c r="E13" s="112">
        <f t="shared" si="1"/>
        <v>90698.5</v>
      </c>
      <c r="F13" s="112">
        <v>62824</v>
      </c>
      <c r="G13" s="112">
        <f>IF(E13&lt;F13,F13-E13,0)</f>
        <v>0</v>
      </c>
      <c r="I13" s="97"/>
    </row>
    <row r="14" spans="1:23" ht="15" customHeight="1" thickTop="1">
      <c r="B14" s="252" t="s">
        <v>43</v>
      </c>
      <c r="C14" s="253"/>
      <c r="D14" s="253"/>
      <c r="E14" s="253"/>
      <c r="F14" s="253"/>
      <c r="G14" s="254"/>
    </row>
    <row r="15" spans="1:23" ht="15" customHeight="1">
      <c r="B15" s="95" t="s">
        <v>150</v>
      </c>
      <c r="C15" s="95"/>
      <c r="D15" s="95">
        <v>222845</v>
      </c>
      <c r="E15" s="96">
        <f t="shared" ref="E15:E19" si="2">$D15/2</f>
        <v>111422.5</v>
      </c>
      <c r="F15" s="129"/>
      <c r="G15" s="129"/>
    </row>
    <row r="16" spans="1:23" ht="15" customHeight="1">
      <c r="B16" s="95" t="s">
        <v>151</v>
      </c>
      <c r="C16" s="95"/>
      <c r="D16" s="95">
        <f>181397+27291</f>
        <v>208688</v>
      </c>
      <c r="E16" s="96">
        <f t="shared" si="2"/>
        <v>104344</v>
      </c>
      <c r="F16" s="129"/>
      <c r="G16" s="129"/>
    </row>
    <row r="17" spans="1:22" ht="15" customHeight="1">
      <c r="B17" s="95" t="s">
        <v>152</v>
      </c>
      <c r="C17" s="95"/>
      <c r="D17" s="95">
        <v>165936</v>
      </c>
      <c r="E17" s="96">
        <f t="shared" si="2"/>
        <v>82968</v>
      </c>
      <c r="F17" s="129"/>
      <c r="G17" s="129"/>
    </row>
    <row r="18" spans="1:22" ht="15" customHeight="1">
      <c r="B18" s="95" t="s">
        <v>153</v>
      </c>
      <c r="C18" s="95"/>
      <c r="D18" s="95">
        <v>435962</v>
      </c>
      <c r="E18" s="96">
        <f t="shared" si="2"/>
        <v>217981</v>
      </c>
      <c r="F18" s="129"/>
      <c r="G18" s="129"/>
      <c r="I18" s="97"/>
    </row>
    <row r="19" spans="1:22" ht="15" customHeight="1">
      <c r="B19" s="128" t="s">
        <v>154</v>
      </c>
      <c r="C19" s="128"/>
      <c r="D19" s="128">
        <v>199689</v>
      </c>
      <c r="E19" s="175">
        <f t="shared" si="2"/>
        <v>99844.5</v>
      </c>
      <c r="F19" s="176"/>
      <c r="G19" s="176"/>
      <c r="I19" s="97"/>
    </row>
    <row r="20" spans="1:22" ht="15" customHeight="1" thickBot="1">
      <c r="B20" s="112" t="s">
        <v>63</v>
      </c>
      <c r="C20" s="112">
        <v>616560</v>
      </c>
      <c r="D20" s="112">
        <f>SUM(D15:D19)</f>
        <v>1233120</v>
      </c>
      <c r="E20" s="112">
        <f>SUM(E15:E19)</f>
        <v>616560</v>
      </c>
      <c r="F20" s="112">
        <f>620276-37902</f>
        <v>582374</v>
      </c>
      <c r="G20" s="112">
        <f>IF(E20&lt;F20,F20-E20,0)</f>
        <v>0</v>
      </c>
      <c r="I20" s="97"/>
    </row>
    <row r="21" spans="1:22" ht="15" customHeight="1" thickTop="1">
      <c r="B21" s="252" t="s">
        <v>44</v>
      </c>
      <c r="C21" s="253"/>
      <c r="D21" s="253"/>
      <c r="E21" s="253"/>
      <c r="F21" s="253"/>
      <c r="G21" s="254"/>
    </row>
    <row r="22" spans="1:22" s="16" customFormat="1" ht="15" customHeight="1">
      <c r="A22" s="1"/>
      <c r="B22" s="95" t="s">
        <v>155</v>
      </c>
      <c r="C22" s="95">
        <v>46400</v>
      </c>
      <c r="D22" s="95">
        <v>370225</v>
      </c>
      <c r="E22" s="96">
        <f t="shared" ref="E22:E24" si="3">$D22/2</f>
        <v>185112.5</v>
      </c>
      <c r="F22" s="129"/>
      <c r="G22" s="12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16" customFormat="1" ht="15" customHeight="1">
      <c r="A23" s="1"/>
      <c r="B23" s="95" t="s">
        <v>41</v>
      </c>
      <c r="C23" s="95"/>
      <c r="D23" s="95"/>
      <c r="E23" s="96">
        <f t="shared" si="3"/>
        <v>0</v>
      </c>
      <c r="F23" s="129"/>
      <c r="G23" s="12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16" customFormat="1" ht="15" customHeight="1">
      <c r="A24" s="1"/>
      <c r="B24" s="95" t="s">
        <v>42</v>
      </c>
      <c r="C24" s="95"/>
      <c r="D24" s="95"/>
      <c r="E24" s="96">
        <f t="shared" si="3"/>
        <v>0</v>
      </c>
      <c r="F24" s="129"/>
      <c r="G24" s="12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16" customFormat="1" ht="15" customHeight="1" thickBot="1">
      <c r="A25" s="1"/>
      <c r="B25" s="112" t="s">
        <v>64</v>
      </c>
      <c r="C25" s="112">
        <f>SUM(C22:C24)</f>
        <v>46400</v>
      </c>
      <c r="D25" s="112">
        <f t="shared" ref="D25:E25" si="4">SUM(D22:D24)</f>
        <v>370225</v>
      </c>
      <c r="E25" s="112">
        <f t="shared" si="4"/>
        <v>185112.5</v>
      </c>
      <c r="F25" s="112">
        <v>46400</v>
      </c>
      <c r="G25" s="112">
        <f>IF(E25&lt;F25,F25-E25,0)</f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16" customFormat="1" ht="15" customHeight="1" thickTop="1">
      <c r="A26" s="1"/>
      <c r="B26" s="124" t="s">
        <v>61</v>
      </c>
      <c r="C26" s="124">
        <f>SUM(C13,C20,C25)</f>
        <v>753659</v>
      </c>
      <c r="D26" s="124">
        <f t="shared" ref="D26:E26" si="5">SUM(D13,D20,D25)</f>
        <v>1784742</v>
      </c>
      <c r="E26" s="124">
        <f t="shared" si="5"/>
        <v>892371</v>
      </c>
      <c r="F26" s="124">
        <f>SUM(F13,F20,F25)</f>
        <v>691598</v>
      </c>
      <c r="G26" s="124">
        <f>SUM(G13,G20,G25)</f>
        <v>0</v>
      </c>
      <c r="H26" s="1"/>
      <c r="I26" s="9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1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16" customFormat="1">
      <c r="A28" s="1"/>
      <c r="B28" s="1" t="s">
        <v>229</v>
      </c>
      <c r="C28" s="97"/>
      <c r="D28" s="97"/>
      <c r="E28" s="97"/>
      <c r="F28" s="97"/>
      <c r="G28" s="9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31" spans="1:22" s="16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4" spans="1:22" s="7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78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7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7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7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7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7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7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7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7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7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7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7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7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</sheetData>
  <sheetProtection formatCells="0" formatColumns="0" formatRows="0" insertColumns="0" insertRows="0" insertHyperlinks="0" deleteColumns="0" deleteRows="0" sort="0" autoFilter="0" pivotTables="0"/>
  <mergeCells count="7">
    <mergeCell ref="B21:G21"/>
    <mergeCell ref="B4:G5"/>
    <mergeCell ref="B6:B7"/>
    <mergeCell ref="C6:F6"/>
    <mergeCell ref="G6:G7"/>
    <mergeCell ref="B9:G9"/>
    <mergeCell ref="B14:G14"/>
  </mergeCells>
  <printOptions horizontalCentered="1" verticalCentered="1"/>
  <pageMargins left="0.51181102362204722" right="0.51181102362204722" top="0.59055118110236227" bottom="0.59055118110236227" header="0.51181102362204722" footer="0.31496062992125984"/>
  <pageSetup paperSize="9" orientation="landscape" r:id="rId1"/>
  <headerFooter alignWithMargins="0">
    <oddHeader>&amp;LSzent István Egyetem&amp;CADATLAP</oddHeader>
    <oddFooter>&amp;L&amp;"Times New Roman CE,Normál"Dátum: Gödöllő,2017. február 28.&amp;CPH&amp;R&amp;"Times New Roman CE,Normál"............................................................
Figler Kálmán kancellár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"/>
  <sheetViews>
    <sheetView tabSelected="1" zoomScaleNormal="100"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I22" sqref="I22"/>
    </sheetView>
  </sheetViews>
  <sheetFormatPr defaultRowHeight="12.75"/>
  <cols>
    <col min="1" max="1" width="3" style="1" bestFit="1" customWidth="1"/>
    <col min="2" max="2" width="54" style="1" customWidth="1"/>
    <col min="3" max="4" width="11.7109375" style="1" customWidth="1"/>
    <col min="5" max="5" width="14.7109375" style="1" customWidth="1"/>
    <col min="6" max="7" width="12.7109375" style="1" customWidth="1"/>
    <col min="8" max="8" width="14.7109375" style="1" customWidth="1"/>
    <col min="9" max="10" width="12.7109375" style="1" customWidth="1"/>
    <col min="11" max="11" width="14.7109375" style="1" customWidth="1"/>
    <col min="12" max="12" width="13.42578125" style="1" customWidth="1"/>
    <col min="13" max="13" width="11.42578125" style="16" customWidth="1"/>
    <col min="14" max="14" width="14.7109375" style="1" customWidth="1"/>
    <col min="15" max="15" width="7.5703125" style="1" customWidth="1"/>
    <col min="16" max="16" width="8.85546875" style="1" customWidth="1"/>
    <col min="17" max="18" width="9.28515625" style="1" customWidth="1"/>
    <col min="19" max="19" width="8.28515625" style="1" customWidth="1"/>
    <col min="20" max="20" width="7.85546875" style="1" customWidth="1"/>
    <col min="21" max="21" width="8.28515625" style="1" customWidth="1"/>
    <col min="22" max="22" width="9" style="1" customWidth="1"/>
    <col min="23" max="23" width="9.85546875" style="1" customWidth="1"/>
    <col min="24" max="24" width="8.42578125" style="1" customWidth="1"/>
    <col min="25" max="26" width="8.140625" style="1" customWidth="1"/>
    <col min="27" max="28" width="9.85546875" style="1" customWidth="1"/>
    <col min="29" max="29" width="8.5703125" style="1" customWidth="1"/>
    <col min="30" max="30" width="8.140625" style="1" customWidth="1"/>
    <col min="31" max="33" width="9.85546875" style="1" customWidth="1"/>
    <col min="34" max="34" width="8.42578125" style="1" customWidth="1"/>
    <col min="35" max="35" width="8" style="1" customWidth="1"/>
    <col min="36" max="16384" width="9.140625" style="1"/>
  </cols>
  <sheetData>
    <row r="1" spans="1:37" ht="15.75">
      <c r="B1" s="320" t="s">
        <v>217</v>
      </c>
      <c r="M1" s="71"/>
      <c r="N1" s="71" t="s">
        <v>218</v>
      </c>
    </row>
    <row r="2" spans="1:37">
      <c r="M2" s="71"/>
      <c r="N2" s="71" t="s">
        <v>27</v>
      </c>
    </row>
    <row r="3" spans="1:37" s="16" customFormat="1" ht="12" customHeight="1">
      <c r="A3" s="274" t="s">
        <v>1</v>
      </c>
      <c r="B3" s="274"/>
      <c r="C3" s="321" t="s">
        <v>219</v>
      </c>
      <c r="D3" s="322"/>
      <c r="E3" s="323"/>
      <c r="F3" s="321" t="s">
        <v>220</v>
      </c>
      <c r="G3" s="324"/>
      <c r="H3" s="325"/>
      <c r="I3" s="321" t="s">
        <v>221</v>
      </c>
      <c r="J3" s="324"/>
      <c r="K3" s="325"/>
      <c r="L3" s="321" t="s">
        <v>222</v>
      </c>
      <c r="M3" s="324"/>
      <c r="N3" s="3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332" customFormat="1" ht="12" customHeight="1">
      <c r="A4" s="274"/>
      <c r="B4" s="274"/>
      <c r="C4" s="326"/>
      <c r="D4" s="327"/>
      <c r="E4" s="328"/>
      <c r="F4" s="329"/>
      <c r="G4" s="330"/>
      <c r="H4" s="331"/>
      <c r="I4" s="329"/>
      <c r="J4" s="330"/>
      <c r="K4" s="331"/>
      <c r="L4" s="329"/>
      <c r="M4" s="330"/>
      <c r="N4" s="33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32" customFormat="1" ht="108.75" customHeight="1">
      <c r="A5" s="274"/>
      <c r="B5" s="274"/>
      <c r="C5" s="333" t="s">
        <v>65</v>
      </c>
      <c r="D5" s="333" t="s">
        <v>223</v>
      </c>
      <c r="E5" s="333" t="s">
        <v>28</v>
      </c>
      <c r="F5" s="333" t="s">
        <v>54</v>
      </c>
      <c r="G5" s="333" t="s">
        <v>224</v>
      </c>
      <c r="H5" s="333" t="s">
        <v>28</v>
      </c>
      <c r="I5" s="333" t="s">
        <v>54</v>
      </c>
      <c r="J5" s="333" t="s">
        <v>224</v>
      </c>
      <c r="K5" s="333" t="s">
        <v>60</v>
      </c>
      <c r="L5" s="333" t="s">
        <v>66</v>
      </c>
      <c r="M5" s="333" t="s">
        <v>67</v>
      </c>
      <c r="N5" s="333" t="s">
        <v>28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332" customFormat="1" ht="12.75" customHeight="1">
      <c r="A6" s="334">
        <v>1</v>
      </c>
      <c r="B6" s="335" t="s">
        <v>225</v>
      </c>
      <c r="C6" s="336">
        <f>'[1]12A_melléklet_Képzési'!E6</f>
        <v>4403986</v>
      </c>
      <c r="D6" s="336">
        <f>'[1]12A_melléklet_Képzési'!F6</f>
        <v>4642908</v>
      </c>
      <c r="E6" s="336">
        <f>'[1]12A_melléklet_Képzési'!G6</f>
        <v>238922</v>
      </c>
      <c r="F6" s="297"/>
      <c r="G6" s="297"/>
      <c r="H6" s="297"/>
      <c r="I6" s="297"/>
      <c r="J6" s="297"/>
      <c r="K6" s="297"/>
      <c r="L6" s="297"/>
      <c r="M6" s="297"/>
      <c r="N6" s="29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16" customFormat="1">
      <c r="A7" s="337">
        <v>2</v>
      </c>
      <c r="B7" s="335" t="s">
        <v>226</v>
      </c>
      <c r="C7" s="297"/>
      <c r="D7" s="297"/>
      <c r="E7" s="297"/>
      <c r="F7" s="302">
        <f>'[1]12C_melléklet_Köznevelési'!H14</f>
        <v>323600</v>
      </c>
      <c r="G7" s="302">
        <f>'[1]12C_melléklet_Köznevelési'!I14</f>
        <v>323600</v>
      </c>
      <c r="H7" s="302">
        <f>'[1]12C_melléklet_Köznevelési'!J14</f>
        <v>0</v>
      </c>
      <c r="I7" s="296"/>
      <c r="J7" s="296"/>
      <c r="K7" s="297"/>
      <c r="L7" s="296"/>
      <c r="M7" s="296"/>
      <c r="N7" s="29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16" customFormat="1">
      <c r="A8" s="334">
        <v>3</v>
      </c>
      <c r="B8" s="335" t="s">
        <v>227</v>
      </c>
      <c r="C8" s="297"/>
      <c r="D8" s="297"/>
      <c r="E8" s="297"/>
      <c r="F8" s="297"/>
      <c r="G8" s="297"/>
      <c r="H8" s="297"/>
      <c r="I8" s="338">
        <f>'[1]12D_melléklet_PPP '!E26</f>
        <v>892371</v>
      </c>
      <c r="J8" s="338">
        <f>'[1]12D_melléklet_PPP '!F26</f>
        <v>691598</v>
      </c>
      <c r="K8" s="338">
        <f>'[1]12D_melléklet_PPP '!G26</f>
        <v>0</v>
      </c>
      <c r="L8" s="296"/>
      <c r="M8" s="296"/>
      <c r="N8" s="29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>
      <c r="A9" s="334">
        <v>4</v>
      </c>
      <c r="B9" s="339" t="s">
        <v>228</v>
      </c>
      <c r="C9" s="297"/>
      <c r="D9" s="297"/>
      <c r="E9" s="297"/>
      <c r="F9" s="297"/>
      <c r="G9" s="297"/>
      <c r="H9" s="297"/>
      <c r="I9" s="297"/>
      <c r="J9" s="297"/>
      <c r="K9" s="297"/>
      <c r="L9" s="336">
        <f>'[1]12B_melléklet_Speciális'!AA27</f>
        <v>1169810</v>
      </c>
      <c r="M9" s="336">
        <v>1230488</v>
      </c>
      <c r="N9" s="336">
        <f>M9-L9</f>
        <v>60678</v>
      </c>
    </row>
    <row r="10" spans="1:37">
      <c r="A10" s="78"/>
      <c r="B10" s="78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1"/>
    </row>
    <row r="11" spans="1:37" s="78" customFormat="1"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78" customFormat="1"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78" customFormat="1"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78" customFormat="1"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78" customFormat="1"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78" customFormat="1"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78" customFormat="1"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78" customFormat="1"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78" customFormat="1"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78" customFormat="1">
      <c r="M20" s="34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7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D6" name="Tartomány2"/>
  </protectedRanges>
  <mergeCells count="5">
    <mergeCell ref="A3:B5"/>
    <mergeCell ref="C3:E4"/>
    <mergeCell ref="F3:H4"/>
    <mergeCell ref="I3:K4"/>
    <mergeCell ref="L3:N4"/>
  </mergeCells>
  <conditionalFormatting sqref="I8">
    <cfRule type="cellIs" dxfId="2" priority="3" stopIfTrue="1" operator="lessThan">
      <formula>0</formula>
    </cfRule>
  </conditionalFormatting>
  <conditionalFormatting sqref="J8">
    <cfRule type="cellIs" dxfId="1" priority="2" stopIfTrue="1" operator="lessThan">
      <formula>0</formula>
    </cfRule>
  </conditionalFormatting>
  <conditionalFormatting sqref="K8">
    <cfRule type="cellIs" dxfId="0" priority="1" stopIfTrue="1" operator="lessThan">
      <formula>0</formula>
    </cfRule>
  </conditionalFormatting>
  <printOptions horizontalCentered="1" verticalCentered="1"/>
  <pageMargins left="0" right="0" top="0.39370078740157483" bottom="1.1811023622047245" header="0.31496062992125984" footer="0.78740157480314965"/>
  <pageSetup paperSize="9" scale="66" orientation="landscape" r:id="rId1"/>
  <headerFooter alignWithMargins="0">
    <oddHeader>&amp;LSzent István Egyetem&amp;CADATLAP</oddHeader>
    <oddFooter xml:space="preserve">&amp;L&amp;"Times New Roman CE,Normál"Dátum: Gödöllő, 2017. február 28.&amp;CPH&amp;R&amp;"Times New Roman CE,Normál".............................................................................
                     Figler Kálmán kancellár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11_sz_melléklet_Hallgatói</vt:lpstr>
      <vt:lpstr>12A_melléklet_Képzési</vt:lpstr>
      <vt:lpstr>12B_melléklet_Speciális</vt:lpstr>
      <vt:lpstr>12B1_melléklet_Illetménytöb </vt:lpstr>
      <vt:lpstr>12D_melléklet_PPP </vt:lpstr>
      <vt:lpstr>12_melléklet_Összesítés</vt:lpstr>
      <vt:lpstr>'11_sz_melléklet_Hallgatói'!Nyomtatási_terület</vt:lpstr>
      <vt:lpstr>'12_melléklet_Összesítés'!Nyomtatási_terület</vt:lpstr>
      <vt:lpstr>'12B1_melléklet_Illetménytöb '!Nyomtatási_terület</vt:lpstr>
    </vt:vector>
  </TitlesOfParts>
  <Company>Oktatási 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tamas.havady@emmi.gov.hu</dc:creator>
  <cp:lastModifiedBy>Bíró Terézia</cp:lastModifiedBy>
  <cp:lastPrinted>2017-04-26T07:24:42Z</cp:lastPrinted>
  <dcterms:created xsi:type="dcterms:W3CDTF">2013-08-15T15:16:04Z</dcterms:created>
  <dcterms:modified xsi:type="dcterms:W3CDTF">2017-05-18T06:17:38Z</dcterms:modified>
</cp:coreProperties>
</file>