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kp_kancellaria\2017. évi költségvetés_05.19\2017.évi költségvetés 2017_0718\"/>
    </mc:Choice>
  </mc:AlternateContent>
  <bookViews>
    <workbookView xWindow="0" yWindow="2730" windowWidth="19155" windowHeight="4140" firstSheet="3" activeTab="8"/>
  </bookViews>
  <sheets>
    <sheet name="1.sz.melléklet" sheetId="41" r:id="rId1"/>
    <sheet name="2.sz.melléklet" sheetId="42" r:id="rId2"/>
    <sheet name="3.sz.melléklet" sheetId="39" r:id="rId3"/>
    <sheet name="4.sz.melléklet " sheetId="58" r:id="rId4"/>
    <sheet name="4a.sz.melléklet" sheetId="38" r:id="rId5"/>
    <sheet name="5.sz.melléklet  " sheetId="59" r:id="rId6"/>
    <sheet name="6.sz.melléklet (2)" sheetId="63" r:id="rId7"/>
    <sheet name="7.sz. melléklet  " sheetId="61" r:id="rId8"/>
    <sheet name="8.sz. melléklet  " sheetId="53" r:id="rId9"/>
    <sheet name="Munka2" sheetId="6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kiemelt_ei._átvezetése_T_7655_420.sz.mód.ind." localSheetId="7">#REF!</definedName>
    <definedName name="kiemelt_ei._átvezetése_T_7655_420.sz.mód.ind." localSheetId="8">#REF!</definedName>
    <definedName name="nn">#REF!</definedName>
    <definedName name="_xlnm.Print_Titles" localSheetId="0">'1.sz.melléklet'!$B:$C,'1.sz.melléklet'!$4:$7</definedName>
    <definedName name="_xlnm.Print_Area" localSheetId="0">'1.sz.melléklet'!$B$3:$V$117</definedName>
    <definedName name="_xlnm.Print_Area" localSheetId="6">'6.sz.melléklet (2)'!$A$1:$M$78</definedName>
    <definedName name="_xlnm.Print_Area" localSheetId="7">'7.sz. melléklet  '!$A$1:$M$39</definedName>
    <definedName name="_xlnm.Print_Area" localSheetId="8">'8.sz. melléklet  '!$A$1:$M$38</definedName>
    <definedName name="Oszlopok_Hallgatói" localSheetId="6">#REF!</definedName>
    <definedName name="Oszlopok_Hallgatói" localSheetId="7">#REF!</definedName>
    <definedName name="Oszlopok_Hallgatói">#REF!</definedName>
    <definedName name="Oszlopok_Kis_szakok_Ősz" localSheetId="3">#REF!</definedName>
    <definedName name="Oszlopok_Kis_szakok_Ősz" localSheetId="5">#REF!</definedName>
    <definedName name="Oszlopok_Kis_szakok_Ősz" localSheetId="6">#REF!</definedName>
    <definedName name="Oszlopok_Kis_szakok_Ősz" localSheetId="7">#REF!</definedName>
    <definedName name="Oszlopok_Kis_szakok_Ősz" localSheetId="8">#REF!</definedName>
    <definedName name="Oszlopok_Kis_szakok_Ősz">#REF!</definedName>
    <definedName name="Oszlopok_Kis_szakok_Ősz_Támogatás" localSheetId="3">#REF!</definedName>
    <definedName name="Oszlopok_Kis_szakok_Ősz_Támogatás" localSheetId="5">#REF!</definedName>
    <definedName name="Oszlopok_Kis_szakok_Ősz_Támogatás" localSheetId="6">#REF!</definedName>
    <definedName name="Oszlopok_Kis_szakok_Ősz_Támogatás" localSheetId="7">#REF!</definedName>
    <definedName name="Oszlopok_Kis_szakok_Ősz_Támogatás" localSheetId="8">#REF!</definedName>
    <definedName name="Oszlopok_Kis_szakok_Ősz_Támogatás">#REF!</definedName>
    <definedName name="Oszlopok_Köznevelési" localSheetId="3">#REF!</definedName>
    <definedName name="Oszlopok_Köznevelési" localSheetId="5">#REF!</definedName>
    <definedName name="Oszlopok_Köznevelési" localSheetId="6">#REF!</definedName>
    <definedName name="Oszlopok_Köznevelési" localSheetId="7">#REF!</definedName>
    <definedName name="Oszlopok_Köznevelési" localSheetId="8">#REF!</definedName>
    <definedName name="Oszlopok_Köznevelési">#REF!</definedName>
    <definedName name="Oszlopok_Nemzetiségi_szakok_Ősz" localSheetId="3">#REF!</definedName>
    <definedName name="Oszlopok_Nemzetiségi_szakok_Ősz" localSheetId="5">#REF!</definedName>
    <definedName name="Oszlopok_Nemzetiségi_szakok_Ősz" localSheetId="6">#REF!</definedName>
    <definedName name="Oszlopok_Nemzetiségi_szakok_Ősz" localSheetId="7">#REF!</definedName>
    <definedName name="Oszlopok_Nemzetiségi_szakok_Ősz" localSheetId="8">#REF!</definedName>
    <definedName name="Oszlopok_Nemzetiségi_szakok_Ősz">#REF!</definedName>
    <definedName name="Oszlopok_Speciális" localSheetId="6">#REF!</definedName>
    <definedName name="Oszlopok_Speciális" localSheetId="7">#REF!</definedName>
    <definedName name="Oszlopok_Speciális">#REF!</definedName>
  </definedNames>
  <calcPr calcId="162913"/>
</workbook>
</file>

<file path=xl/calcChain.xml><?xml version="1.0" encoding="utf-8"?>
<calcChain xmlns="http://schemas.openxmlformats.org/spreadsheetml/2006/main">
  <c r="J14" i="64" l="1"/>
  <c r="I14" i="64"/>
  <c r="H14" i="64"/>
  <c r="G14" i="64"/>
  <c r="F14" i="64"/>
  <c r="E14" i="64"/>
  <c r="D14" i="64"/>
  <c r="C14" i="64"/>
  <c r="L54" i="63" l="1"/>
  <c r="F37" i="61"/>
  <c r="K10" i="64" l="1"/>
  <c r="B11" i="64"/>
  <c r="B9" i="64"/>
  <c r="B10" i="64" l="1"/>
  <c r="B15" i="64" s="1"/>
  <c r="K14" i="64"/>
  <c r="B7" i="64"/>
  <c r="K69" i="63" l="1"/>
  <c r="L57" i="63"/>
  <c r="J58" i="63"/>
  <c r="G58" i="63"/>
  <c r="E58" i="63"/>
  <c r="D58" i="63"/>
  <c r="K68" i="63" l="1"/>
  <c r="H68" i="63"/>
  <c r="E68" i="63"/>
  <c r="D68" i="63"/>
  <c r="C68" i="63"/>
  <c r="B68" i="63"/>
  <c r="L65" i="63"/>
  <c r="L68" i="63" s="1"/>
  <c r="J65" i="63"/>
  <c r="J68" i="63" s="1"/>
  <c r="I65" i="63"/>
  <c r="I68" i="63" s="1"/>
  <c r="G65" i="63"/>
  <c r="F65" i="63"/>
  <c r="F68" i="63" s="1"/>
  <c r="C65" i="63"/>
  <c r="G62" i="63"/>
  <c r="G68" i="63" s="1"/>
  <c r="G57" i="63"/>
  <c r="L50" i="63"/>
  <c r="K50" i="63"/>
  <c r="J50" i="63"/>
  <c r="I50" i="63"/>
  <c r="H50" i="63"/>
  <c r="F50" i="63"/>
  <c r="C50" i="63"/>
  <c r="B50" i="63"/>
  <c r="G49" i="63"/>
  <c r="G50" i="63" s="1"/>
  <c r="G56" i="63" s="1"/>
  <c r="G59" i="63" s="1"/>
  <c r="G69" i="63" s="1"/>
  <c r="E49" i="63"/>
  <c r="E50" i="63" s="1"/>
  <c r="D49" i="63"/>
  <c r="D50" i="63" s="1"/>
  <c r="L46" i="63"/>
  <c r="H46" i="63"/>
  <c r="F46" i="63"/>
  <c r="K44" i="63"/>
  <c r="B44" i="63"/>
  <c r="K40" i="63"/>
  <c r="J40" i="63"/>
  <c r="I40" i="63"/>
  <c r="H40" i="63"/>
  <c r="G40" i="63"/>
  <c r="F40" i="63"/>
  <c r="E40" i="63"/>
  <c r="D40" i="63"/>
  <c r="C40" i="63"/>
  <c r="B40" i="63"/>
  <c r="L39" i="63"/>
  <c r="L40" i="63" s="1"/>
  <c r="L36" i="63"/>
  <c r="K36" i="63"/>
  <c r="J36" i="63"/>
  <c r="I36" i="63"/>
  <c r="I56" i="63" s="1"/>
  <c r="I59" i="63" s="1"/>
  <c r="H36" i="63"/>
  <c r="G36" i="63"/>
  <c r="F36" i="63"/>
  <c r="E36" i="63"/>
  <c r="C36" i="63"/>
  <c r="B36" i="63"/>
  <c r="D30" i="63"/>
  <c r="D36" i="63" s="1"/>
  <c r="L13" i="63"/>
  <c r="K13" i="63"/>
  <c r="J13" i="63"/>
  <c r="I13" i="63"/>
  <c r="H13" i="63"/>
  <c r="G13" i="63"/>
  <c r="F13" i="63"/>
  <c r="E13" i="63"/>
  <c r="D13" i="63"/>
  <c r="C13" i="63"/>
  <c r="B13" i="63"/>
  <c r="F56" i="63" l="1"/>
  <c r="F59" i="63" s="1"/>
  <c r="F69" i="63" s="1"/>
  <c r="B56" i="63"/>
  <c r="B59" i="63" s="1"/>
  <c r="B69" i="63" s="1"/>
  <c r="H56" i="63"/>
  <c r="H59" i="63" s="1"/>
  <c r="H69" i="63" s="1"/>
  <c r="J56" i="63"/>
  <c r="J59" i="63" s="1"/>
  <c r="J69" i="63" s="1"/>
  <c r="E56" i="63"/>
  <c r="E59" i="63" s="1"/>
  <c r="E69" i="63" s="1"/>
  <c r="I69" i="63"/>
  <c r="L56" i="63"/>
  <c r="L59" i="63" s="1"/>
  <c r="L69" i="63" s="1"/>
  <c r="K56" i="63"/>
  <c r="K59" i="63" s="1"/>
  <c r="C56" i="63"/>
  <c r="C59" i="63" s="1"/>
  <c r="C69" i="63" s="1"/>
  <c r="D56" i="63"/>
  <c r="D59" i="63" s="1"/>
  <c r="D69" i="63" s="1"/>
  <c r="I6" i="53"/>
  <c r="D18" i="61" l="1"/>
  <c r="D13" i="61"/>
  <c r="D8" i="53" l="1"/>
  <c r="G19" i="53" l="1"/>
  <c r="L29" i="61" l="1"/>
  <c r="J29" i="61"/>
  <c r="I29" i="61"/>
  <c r="B29" i="61"/>
  <c r="C29" i="53" l="1"/>
  <c r="B7" i="53" l="1"/>
  <c r="H13" i="53" l="1"/>
  <c r="G13" i="53"/>
  <c r="F13" i="53"/>
  <c r="E13" i="53"/>
  <c r="J18" i="53"/>
  <c r="J17" i="53" s="1"/>
  <c r="I18" i="53"/>
  <c r="I17" i="53" s="1"/>
  <c r="D18" i="53"/>
  <c r="D17" i="53" s="1"/>
  <c r="B18" i="53"/>
  <c r="B17" i="53" s="1"/>
  <c r="L9" i="53"/>
  <c r="K9" i="53"/>
  <c r="J9" i="53"/>
  <c r="I9" i="53"/>
  <c r="H9" i="53"/>
  <c r="G9" i="53"/>
  <c r="F9" i="53"/>
  <c r="D9" i="53"/>
  <c r="D7" i="53" s="1"/>
  <c r="D6" i="53" s="1"/>
  <c r="B6" i="53"/>
  <c r="H20" i="53"/>
  <c r="C20" i="53"/>
  <c r="C18" i="53" s="1"/>
  <c r="J7" i="53" l="1"/>
  <c r="J6" i="53" s="1"/>
  <c r="M13" i="53"/>
  <c r="H24" i="61"/>
  <c r="G24" i="61"/>
  <c r="E24" i="61"/>
  <c r="M35" i="61"/>
  <c r="E35" i="61"/>
  <c r="H34" i="61"/>
  <c r="J8" i="61"/>
  <c r="D8" i="61"/>
  <c r="M24" i="61" l="1"/>
  <c r="B8" i="61"/>
  <c r="G34" i="61"/>
  <c r="F34" i="61"/>
  <c r="E34" i="61"/>
  <c r="H37" i="61"/>
  <c r="G37" i="61"/>
  <c r="D37" i="61"/>
  <c r="D29" i="61" s="1"/>
  <c r="H36" i="61"/>
  <c r="G36" i="61"/>
  <c r="F36" i="61"/>
  <c r="C36" i="61"/>
  <c r="C29" i="61" s="1"/>
  <c r="K33" i="61"/>
  <c r="K29" i="61" s="1"/>
  <c r="H33" i="61"/>
  <c r="G33" i="61"/>
  <c r="F33" i="61"/>
  <c r="E33" i="61"/>
  <c r="H32" i="61"/>
  <c r="G32" i="61"/>
  <c r="F32" i="61"/>
  <c r="E32" i="61"/>
  <c r="H31" i="61"/>
  <c r="G31" i="61"/>
  <c r="F31" i="61"/>
  <c r="E31" i="61"/>
  <c r="G30" i="61"/>
  <c r="F30" i="61"/>
  <c r="E30" i="61"/>
  <c r="M28" i="61"/>
  <c r="E28" i="61"/>
  <c r="M27" i="61"/>
  <c r="E27" i="61"/>
  <c r="K26" i="61"/>
  <c r="H26" i="61"/>
  <c r="G26" i="61"/>
  <c r="F26" i="61"/>
  <c r="E26" i="61"/>
  <c r="H25" i="61"/>
  <c r="G25" i="61"/>
  <c r="E25" i="61"/>
  <c r="D6" i="61"/>
  <c r="M23" i="61"/>
  <c r="E23" i="61"/>
  <c r="L22" i="61"/>
  <c r="L18" i="61" s="1"/>
  <c r="K22" i="61"/>
  <c r="K18" i="61" s="1"/>
  <c r="H22" i="61"/>
  <c r="G22" i="61"/>
  <c r="F22" i="61"/>
  <c r="E22" i="61"/>
  <c r="H21" i="61"/>
  <c r="G21" i="61"/>
  <c r="F21" i="61"/>
  <c r="E21" i="61"/>
  <c r="M20" i="61"/>
  <c r="C20" i="61"/>
  <c r="E20" i="61" s="1"/>
  <c r="H19" i="61"/>
  <c r="G19" i="61"/>
  <c r="F19" i="61"/>
  <c r="C19" i="61"/>
  <c r="L17" i="61"/>
  <c r="K17" i="61"/>
  <c r="J17" i="61"/>
  <c r="J6" i="61" s="1"/>
  <c r="J38" i="61" s="1"/>
  <c r="I17" i="61"/>
  <c r="H17" i="61"/>
  <c r="G17" i="61"/>
  <c r="F17" i="61"/>
  <c r="E17" i="61"/>
  <c r="H16" i="61"/>
  <c r="G16" i="61"/>
  <c r="F16" i="61"/>
  <c r="E16" i="61"/>
  <c r="H15" i="61"/>
  <c r="G15" i="61"/>
  <c r="F15" i="61"/>
  <c r="C15" i="61"/>
  <c r="E15" i="61" s="1"/>
  <c r="M13" i="61"/>
  <c r="E13" i="61"/>
  <c r="M12" i="61"/>
  <c r="E12" i="61"/>
  <c r="I11" i="61"/>
  <c r="C11" i="61"/>
  <c r="E11" i="61" s="1"/>
  <c r="H10" i="61"/>
  <c r="G10" i="61"/>
  <c r="F10" i="61"/>
  <c r="E10" i="61"/>
  <c r="L9" i="61"/>
  <c r="L8" i="61" s="1"/>
  <c r="K9" i="61"/>
  <c r="K8" i="61" s="1"/>
  <c r="H9" i="61"/>
  <c r="G9" i="61"/>
  <c r="F9" i="61"/>
  <c r="C9" i="61"/>
  <c r="K7" i="61"/>
  <c r="I7" i="61"/>
  <c r="H7" i="61"/>
  <c r="G7" i="61"/>
  <c r="F7" i="61"/>
  <c r="E7" i="61"/>
  <c r="H29" i="61" l="1"/>
  <c r="H18" i="61"/>
  <c r="E19" i="61"/>
  <c r="E18" i="61" s="1"/>
  <c r="C18" i="61"/>
  <c r="F29" i="61"/>
  <c r="F18" i="61"/>
  <c r="G18" i="61"/>
  <c r="G29" i="61"/>
  <c r="G8" i="61"/>
  <c r="K6" i="61"/>
  <c r="H8" i="61"/>
  <c r="E9" i="61"/>
  <c r="E8" i="61" s="1"/>
  <c r="C8" i="61"/>
  <c r="M34" i="61"/>
  <c r="F8" i="61"/>
  <c r="L6" i="61"/>
  <c r="L38" i="61" s="1"/>
  <c r="E36" i="61"/>
  <c r="E37" i="61"/>
  <c r="D38" i="61"/>
  <c r="B6" i="61"/>
  <c r="B38" i="61" s="1"/>
  <c r="M11" i="61"/>
  <c r="I8" i="61"/>
  <c r="I6" i="61" s="1"/>
  <c r="I38" i="61" s="1"/>
  <c r="M25" i="61"/>
  <c r="M21" i="61"/>
  <c r="M30" i="61"/>
  <c r="M36" i="61"/>
  <c r="M7" i="61"/>
  <c r="M10" i="61"/>
  <c r="M31" i="61"/>
  <c r="M32" i="61"/>
  <c r="M37" i="61"/>
  <c r="M15" i="61"/>
  <c r="M16" i="61"/>
  <c r="M26" i="61"/>
  <c r="M19" i="61"/>
  <c r="M33" i="61"/>
  <c r="M9" i="61"/>
  <c r="M17" i="61"/>
  <c r="M22" i="61"/>
  <c r="L16" i="42"/>
  <c r="K16" i="42"/>
  <c r="J16" i="42"/>
  <c r="I16" i="42"/>
  <c r="H16" i="42"/>
  <c r="G16" i="42"/>
  <c r="F16" i="42"/>
  <c r="E16" i="42"/>
  <c r="C16" i="42"/>
  <c r="B16" i="42"/>
  <c r="H6" i="61" l="1"/>
  <c r="H38" i="61" s="1"/>
  <c r="E29" i="61"/>
  <c r="G6" i="61"/>
  <c r="G38" i="61" s="1"/>
  <c r="M18" i="61"/>
  <c r="F6" i="61"/>
  <c r="F38" i="61" s="1"/>
  <c r="M29" i="61"/>
  <c r="K38" i="61"/>
  <c r="E6" i="61"/>
  <c r="C6" i="61"/>
  <c r="C38" i="61" s="1"/>
  <c r="M8" i="61"/>
  <c r="M6" i="61" l="1"/>
  <c r="M38" i="61" s="1"/>
  <c r="E38" i="61"/>
  <c r="D15" i="42" l="1"/>
  <c r="D16" i="42" s="1"/>
  <c r="G16" i="59" l="1"/>
  <c r="J17" i="58"/>
  <c r="G17" i="58"/>
  <c r="H11" i="58" s="1"/>
  <c r="D17" i="58"/>
  <c r="E9" i="58" s="1"/>
  <c r="F9" i="58" s="1"/>
  <c r="H13" i="58" l="1"/>
  <c r="H14" i="58"/>
  <c r="H10" i="58"/>
  <c r="H16" i="58"/>
  <c r="H12" i="58"/>
  <c r="H15" i="58"/>
  <c r="E16" i="59"/>
  <c r="D16" i="59"/>
  <c r="F15" i="59"/>
  <c r="H15" i="59" s="1"/>
  <c r="F14" i="59"/>
  <c r="H14" i="59" s="1"/>
  <c r="F13" i="59"/>
  <c r="H13" i="59" s="1"/>
  <c r="F12" i="59"/>
  <c r="H12" i="59" s="1"/>
  <c r="F11" i="59"/>
  <c r="H11" i="59" s="1"/>
  <c r="F10" i="59"/>
  <c r="H10" i="59" s="1"/>
  <c r="F8" i="59"/>
  <c r="F9" i="59"/>
  <c r="H9" i="59" s="1"/>
  <c r="K14" i="58"/>
  <c r="L14" i="58" s="1"/>
  <c r="H9" i="58"/>
  <c r="E15" i="58"/>
  <c r="F15" i="58" s="1"/>
  <c r="K15" i="58"/>
  <c r="L15" i="58" s="1"/>
  <c r="I12" i="58"/>
  <c r="E12" i="58"/>
  <c r="F12" i="58" s="1"/>
  <c r="K10" i="58"/>
  <c r="E10" i="58"/>
  <c r="F10" i="58" s="1"/>
  <c r="H8" i="59" l="1"/>
  <c r="F16" i="59"/>
  <c r="I9" i="58"/>
  <c r="H17" i="58"/>
  <c r="E13" i="58"/>
  <c r="F13" i="58" s="1"/>
  <c r="E14" i="58"/>
  <c r="F14" i="58" s="1"/>
  <c r="K16" i="58"/>
  <c r="L16" i="58" s="1"/>
  <c r="K11" i="58"/>
  <c r="L11" i="58" s="1"/>
  <c r="K13" i="58"/>
  <c r="L13" i="58" s="1"/>
  <c r="K9" i="58"/>
  <c r="K12" i="58"/>
  <c r="L12" i="58" s="1"/>
  <c r="M12" i="58" s="1"/>
  <c r="L10" i="58"/>
  <c r="H16" i="59"/>
  <c r="I16" i="58"/>
  <c r="E16" i="58"/>
  <c r="F16" i="58" s="1"/>
  <c r="I10" i="58"/>
  <c r="E11" i="58"/>
  <c r="F11" i="58" s="1"/>
  <c r="I11" i="58"/>
  <c r="L9" i="58" l="1"/>
  <c r="K17" i="58"/>
  <c r="F17" i="58"/>
  <c r="M10" i="58"/>
  <c r="M11" i="58"/>
  <c r="M16" i="58"/>
  <c r="I15" i="58"/>
  <c r="M15" i="58" s="1"/>
  <c r="I13" i="58"/>
  <c r="M13" i="58" s="1"/>
  <c r="I14" i="58"/>
  <c r="M14" i="58" s="1"/>
  <c r="E17" i="58"/>
  <c r="M9" i="58" l="1"/>
  <c r="L17" i="58"/>
  <c r="M17" i="58"/>
  <c r="I17" i="58"/>
  <c r="L29" i="53"/>
  <c r="H29" i="53"/>
  <c r="F29" i="53"/>
  <c r="K28" i="53"/>
  <c r="F28" i="53"/>
  <c r="E28" i="53"/>
  <c r="L18" i="53"/>
  <c r="H27" i="53"/>
  <c r="E27" i="53"/>
  <c r="H26" i="53"/>
  <c r="F26" i="53"/>
  <c r="E26" i="53"/>
  <c r="M25" i="53"/>
  <c r="E25" i="53"/>
  <c r="K24" i="53"/>
  <c r="K18" i="53" s="1"/>
  <c r="H24" i="53"/>
  <c r="F24" i="53"/>
  <c r="E24" i="53"/>
  <c r="H23" i="53"/>
  <c r="G23" i="53"/>
  <c r="F23" i="53"/>
  <c r="E23" i="53"/>
  <c r="M22" i="53"/>
  <c r="E22" i="53"/>
  <c r="H21" i="53"/>
  <c r="G21" i="53"/>
  <c r="F21" i="53"/>
  <c r="E21" i="53"/>
  <c r="M20" i="53"/>
  <c r="E20" i="53"/>
  <c r="H19" i="53"/>
  <c r="F19" i="53"/>
  <c r="E19" i="53"/>
  <c r="H14" i="53"/>
  <c r="G14" i="53"/>
  <c r="F14" i="53"/>
  <c r="E14" i="53"/>
  <c r="K12" i="53"/>
  <c r="H12" i="53"/>
  <c r="G12" i="53"/>
  <c r="F12" i="53"/>
  <c r="F7" i="53" s="1"/>
  <c r="F6" i="53" s="1"/>
  <c r="E12" i="53"/>
  <c r="M11" i="53"/>
  <c r="C11" i="53"/>
  <c r="C9" i="53" s="1"/>
  <c r="M10" i="53"/>
  <c r="E10" i="53"/>
  <c r="L8" i="53"/>
  <c r="L7" i="53" s="1"/>
  <c r="L6" i="53" s="1"/>
  <c r="K8" i="53"/>
  <c r="I8" i="53"/>
  <c r="H8" i="53"/>
  <c r="H18" i="53" l="1"/>
  <c r="H17" i="53" s="1"/>
  <c r="C7" i="53"/>
  <c r="C6" i="53" s="1"/>
  <c r="H7" i="53"/>
  <c r="H6" i="53" s="1"/>
  <c r="K7" i="53"/>
  <c r="K6" i="53" s="1"/>
  <c r="G7" i="53"/>
  <c r="G6" i="53" s="1"/>
  <c r="L17" i="53"/>
  <c r="E18" i="53"/>
  <c r="G18" i="53"/>
  <c r="G17" i="53" s="1"/>
  <c r="K17" i="53"/>
  <c r="F18" i="53"/>
  <c r="F17" i="53" s="1"/>
  <c r="E8" i="53"/>
  <c r="D30" i="53"/>
  <c r="D31" i="53" s="1"/>
  <c r="M9" i="53"/>
  <c r="E29" i="53"/>
  <c r="C17" i="53"/>
  <c r="B30" i="53"/>
  <c r="B31" i="53" s="1"/>
  <c r="J30" i="53"/>
  <c r="J31" i="53" s="1"/>
  <c r="M14" i="53"/>
  <c r="M15" i="53"/>
  <c r="M28" i="53"/>
  <c r="M8" i="53"/>
  <c r="M21" i="53"/>
  <c r="M26" i="53"/>
  <c r="M12" i="53"/>
  <c r="M19" i="53"/>
  <c r="M23" i="53"/>
  <c r="M24" i="53"/>
  <c r="M29" i="53"/>
  <c r="M27" i="53"/>
  <c r="E11" i="53"/>
  <c r="E17" i="53" l="1"/>
  <c r="M18" i="53"/>
  <c r="M17" i="53" s="1"/>
  <c r="M7" i="53"/>
  <c r="M6" i="53" s="1"/>
  <c r="E9" i="53"/>
  <c r="E7" i="53" s="1"/>
  <c r="C30" i="53"/>
  <c r="C31" i="53" s="1"/>
  <c r="I30" i="53"/>
  <c r="I31" i="53" s="1"/>
  <c r="L30" i="53"/>
  <c r="L31" i="53" s="1"/>
  <c r="H30" i="53"/>
  <c r="H31" i="53" s="1"/>
  <c r="G30" i="53"/>
  <c r="G31" i="53" s="1"/>
  <c r="K30" i="53"/>
  <c r="K31" i="53" s="1"/>
  <c r="F30" i="53"/>
  <c r="F31" i="53" s="1"/>
  <c r="E6" i="53" l="1"/>
  <c r="M30" i="53"/>
  <c r="M31" i="53" s="1"/>
  <c r="E30" i="53" l="1"/>
  <c r="E31" i="53" s="1"/>
  <c r="J14" i="39"/>
  <c r="H13" i="39" l="1"/>
  <c r="K13" i="39" s="1"/>
  <c r="H11" i="39"/>
  <c r="K11" i="39" s="1"/>
  <c r="H8" i="39"/>
  <c r="H14" i="39" l="1"/>
  <c r="K8" i="39"/>
  <c r="L40" i="42"/>
  <c r="L41" i="42" s="1"/>
  <c r="H40" i="42"/>
  <c r="H41" i="42" s="1"/>
  <c r="G40" i="42"/>
  <c r="G41" i="42" s="1"/>
  <c r="F40" i="42"/>
  <c r="F41" i="42" s="1"/>
  <c r="D40" i="42"/>
  <c r="D41" i="42" s="1"/>
  <c r="E40" i="42"/>
  <c r="E41" i="42" s="1"/>
  <c r="C40" i="42"/>
  <c r="C41" i="42" s="1"/>
  <c r="K39" i="42"/>
  <c r="K40" i="42" s="1"/>
  <c r="K41" i="42" s="1"/>
  <c r="J39" i="42"/>
  <c r="J40" i="42" s="1"/>
  <c r="J41" i="42" s="1"/>
  <c r="J46" i="42" s="1"/>
  <c r="I39" i="42"/>
  <c r="I40" i="42" s="1"/>
  <c r="I41" i="42" s="1"/>
  <c r="B39" i="42"/>
  <c r="B40" i="42" s="1"/>
  <c r="B41" i="42" s="1"/>
  <c r="L34" i="42"/>
  <c r="L35" i="42" s="1"/>
  <c r="L36" i="42" s="1"/>
  <c r="K34" i="42"/>
  <c r="K35" i="42" s="1"/>
  <c r="K30" i="42"/>
  <c r="L29" i="42"/>
  <c r="L30" i="42" s="1"/>
  <c r="L31" i="42" s="1"/>
  <c r="I29" i="42"/>
  <c r="I30" i="42" s="1"/>
  <c r="I31" i="42" s="1"/>
  <c r="H29" i="42"/>
  <c r="H30" i="42" s="1"/>
  <c r="H31" i="42" s="1"/>
  <c r="G29" i="42"/>
  <c r="G30" i="42" s="1"/>
  <c r="G31" i="42" s="1"/>
  <c r="F29" i="42"/>
  <c r="F30" i="42" s="1"/>
  <c r="F31" i="42" s="1"/>
  <c r="D29" i="42"/>
  <c r="D30" i="42" s="1"/>
  <c r="D31" i="42" s="1"/>
  <c r="E29" i="42"/>
  <c r="E30" i="42" s="1"/>
  <c r="E31" i="42" s="1"/>
  <c r="B29" i="42"/>
  <c r="B30" i="42" s="1"/>
  <c r="B31" i="42" s="1"/>
  <c r="C29" i="42"/>
  <c r="C30" i="42" s="1"/>
  <c r="C31" i="42" s="1"/>
  <c r="L26" i="42"/>
  <c r="K26" i="42"/>
  <c r="I25" i="42"/>
  <c r="I26" i="42" s="1"/>
  <c r="H25" i="42"/>
  <c r="H26" i="42" s="1"/>
  <c r="G25" i="42"/>
  <c r="G26" i="42" s="1"/>
  <c r="F25" i="42"/>
  <c r="F26" i="42" s="1"/>
  <c r="D25" i="42"/>
  <c r="D26" i="42" s="1"/>
  <c r="E25" i="42"/>
  <c r="E26" i="42" s="1"/>
  <c r="B25" i="42"/>
  <c r="B26" i="42" s="1"/>
  <c r="C25" i="42"/>
  <c r="C26" i="42" s="1"/>
  <c r="I24" i="42"/>
  <c r="H24" i="42"/>
  <c r="G24" i="42"/>
  <c r="F24" i="42"/>
  <c r="D24" i="42"/>
  <c r="L20" i="42"/>
  <c r="L21" i="42" s="1"/>
  <c r="K20" i="42"/>
  <c r="I20" i="42"/>
  <c r="I21" i="42" s="1"/>
  <c r="G20" i="42"/>
  <c r="G21" i="42" s="1"/>
  <c r="D20" i="42"/>
  <c r="D21" i="42" s="1"/>
  <c r="E20" i="42"/>
  <c r="E21" i="42" s="1"/>
  <c r="B20" i="42"/>
  <c r="B21" i="42" s="1"/>
  <c r="H19" i="42"/>
  <c r="H20" i="42" s="1"/>
  <c r="H21" i="42" s="1"/>
  <c r="F19" i="42"/>
  <c r="F20" i="42" s="1"/>
  <c r="F21" i="42" s="1"/>
  <c r="C19" i="42"/>
  <c r="C20" i="42" s="1"/>
  <c r="C21" i="42" s="1"/>
  <c r="L9" i="42"/>
  <c r="L11" i="42" s="1"/>
  <c r="K9" i="42"/>
  <c r="K10" i="42" s="1"/>
  <c r="K11" i="42" s="1"/>
  <c r="I7" i="42"/>
  <c r="I9" i="42" s="1"/>
  <c r="I10" i="42" s="1"/>
  <c r="I11" i="42" s="1"/>
  <c r="H7" i="42"/>
  <c r="G7" i="42"/>
  <c r="G34" i="42" s="1"/>
  <c r="G35" i="42" s="1"/>
  <c r="G36" i="42" s="1"/>
  <c r="F7" i="42"/>
  <c r="F9" i="42" s="1"/>
  <c r="F10" i="42" s="1"/>
  <c r="F11" i="42" s="1"/>
  <c r="D7" i="42"/>
  <c r="D9" i="42" s="1"/>
  <c r="D10" i="42" s="1"/>
  <c r="D11" i="42" s="1"/>
  <c r="E7" i="42"/>
  <c r="E9" i="42" s="1"/>
  <c r="E10" i="42" s="1"/>
  <c r="E11" i="42" s="1"/>
  <c r="B7" i="42"/>
  <c r="B34" i="42" s="1"/>
  <c r="B35" i="42" s="1"/>
  <c r="B36" i="42" s="1"/>
  <c r="C7" i="42"/>
  <c r="K46" i="42" l="1"/>
  <c r="D46" i="42"/>
  <c r="L46" i="42"/>
  <c r="C24" i="42"/>
  <c r="D34" i="42"/>
  <c r="D35" i="42" s="1"/>
  <c r="D36" i="42" s="1"/>
  <c r="C34" i="42"/>
  <c r="C35" i="42" s="1"/>
  <c r="C36" i="42" s="1"/>
  <c r="I34" i="42"/>
  <c r="I35" i="42" s="1"/>
  <c r="I36" i="42" s="1"/>
  <c r="I46" i="42" s="1"/>
  <c r="B24" i="42"/>
  <c r="H34" i="42"/>
  <c r="H35" i="42" s="1"/>
  <c r="H36" i="42" s="1"/>
  <c r="C9" i="42"/>
  <c r="C10" i="42" s="1"/>
  <c r="C11" i="42" s="1"/>
  <c r="C46" i="42" s="1"/>
  <c r="E24" i="42"/>
  <c r="H9" i="42"/>
  <c r="H10" i="42" s="1"/>
  <c r="H11" i="42" s="1"/>
  <c r="H46" i="42" s="1"/>
  <c r="E34" i="42"/>
  <c r="E35" i="42" s="1"/>
  <c r="E36" i="42" s="1"/>
  <c r="E46" i="42" s="1"/>
  <c r="B9" i="42"/>
  <c r="B10" i="42" s="1"/>
  <c r="B11" i="42" s="1"/>
  <c r="B46" i="42" s="1"/>
  <c r="F34" i="42"/>
  <c r="F35" i="42" s="1"/>
  <c r="F36" i="42" s="1"/>
  <c r="F46" i="42" s="1"/>
  <c r="G9" i="42"/>
  <c r="G10" i="42" s="1"/>
  <c r="G11" i="42" s="1"/>
  <c r="G46" i="42" s="1"/>
  <c r="M9" i="41" l="1"/>
  <c r="O9" i="41"/>
  <c r="O115" i="41" s="1"/>
  <c r="M10" i="41"/>
  <c r="M116" i="41" s="1"/>
  <c r="O10" i="41"/>
  <c r="E11" i="41"/>
  <c r="E15" i="41" s="1"/>
  <c r="F11" i="41"/>
  <c r="F15" i="41" s="1"/>
  <c r="G11" i="41"/>
  <c r="G15" i="41" s="1"/>
  <c r="H11" i="41"/>
  <c r="H15" i="41" s="1"/>
  <c r="I11" i="41"/>
  <c r="I15" i="41" s="1"/>
  <c r="J11" i="41"/>
  <c r="J15" i="41" s="1"/>
  <c r="K11" i="41"/>
  <c r="K15" i="41" s="1"/>
  <c r="L11" i="41"/>
  <c r="L15" i="41" s="1"/>
  <c r="P11" i="41"/>
  <c r="P15" i="41" s="1"/>
  <c r="Q11" i="41"/>
  <c r="Q15" i="41" s="1"/>
  <c r="R11" i="41"/>
  <c r="R15" i="41" s="1"/>
  <c r="S11" i="41"/>
  <c r="S15" i="41" s="1"/>
  <c r="T11" i="41"/>
  <c r="T15" i="41" s="1"/>
  <c r="U11" i="41"/>
  <c r="U15" i="41" s="1"/>
  <c r="V11" i="41"/>
  <c r="V15" i="41" s="1"/>
  <c r="M12" i="41"/>
  <c r="O12" i="41"/>
  <c r="M13" i="41"/>
  <c r="O13" i="41"/>
  <c r="M14" i="41"/>
  <c r="O14" i="41"/>
  <c r="M18" i="41"/>
  <c r="M115" i="41" s="1"/>
  <c r="O18" i="41"/>
  <c r="M19" i="41"/>
  <c r="O19" i="41"/>
  <c r="M20" i="41"/>
  <c r="O20" i="41"/>
  <c r="M21" i="41"/>
  <c r="O21" i="41"/>
  <c r="M22" i="41"/>
  <c r="O22" i="41"/>
  <c r="O116" i="41" s="1"/>
  <c r="M23" i="41"/>
  <c r="O23" i="41"/>
  <c r="M24" i="41"/>
  <c r="O24" i="41"/>
  <c r="M25" i="41"/>
  <c r="N25" i="41" s="1"/>
  <c r="O25" i="41"/>
  <c r="M26" i="41"/>
  <c r="O26" i="41"/>
  <c r="M27" i="41"/>
  <c r="O27" i="41"/>
  <c r="M28" i="41"/>
  <c r="O28" i="41"/>
  <c r="M29" i="41"/>
  <c r="O29" i="41"/>
  <c r="M30" i="41"/>
  <c r="O30" i="41"/>
  <c r="M31" i="41"/>
  <c r="O31" i="41"/>
  <c r="M32" i="41"/>
  <c r="O32" i="41"/>
  <c r="M33" i="41"/>
  <c r="O33" i="41"/>
  <c r="M34" i="41"/>
  <c r="O34" i="41"/>
  <c r="M35" i="41"/>
  <c r="O35" i="41"/>
  <c r="M36" i="41"/>
  <c r="O36" i="41"/>
  <c r="M37" i="41"/>
  <c r="O37" i="41"/>
  <c r="M38" i="41"/>
  <c r="O38" i="41"/>
  <c r="M39" i="41"/>
  <c r="O39" i="41"/>
  <c r="M40" i="41"/>
  <c r="O40" i="41"/>
  <c r="M41" i="41"/>
  <c r="O41" i="41"/>
  <c r="M42" i="41"/>
  <c r="O42" i="41"/>
  <c r="M43" i="41"/>
  <c r="O43" i="41"/>
  <c r="M44" i="41"/>
  <c r="O44" i="41"/>
  <c r="M45" i="41"/>
  <c r="O45" i="41"/>
  <c r="M46" i="41"/>
  <c r="O46" i="41"/>
  <c r="M47" i="41"/>
  <c r="O47" i="41"/>
  <c r="M48" i="41"/>
  <c r="O48" i="41"/>
  <c r="M49" i="41"/>
  <c r="O49" i="41"/>
  <c r="M50" i="41"/>
  <c r="O50" i="41"/>
  <c r="M51" i="41"/>
  <c r="O51" i="41"/>
  <c r="M52" i="41"/>
  <c r="O52" i="41"/>
  <c r="M53" i="41"/>
  <c r="O53" i="41"/>
  <c r="M54" i="41"/>
  <c r="O54" i="41"/>
  <c r="M55" i="41"/>
  <c r="O55" i="41"/>
  <c r="M56" i="41"/>
  <c r="O56" i="41"/>
  <c r="M57" i="41"/>
  <c r="N57" i="41" s="1"/>
  <c r="O57" i="41"/>
  <c r="M58" i="41"/>
  <c r="O58" i="41"/>
  <c r="M59" i="41"/>
  <c r="O59" i="41"/>
  <c r="M60" i="41"/>
  <c r="O60" i="41"/>
  <c r="M61" i="41"/>
  <c r="O61" i="41"/>
  <c r="M62" i="41"/>
  <c r="O62" i="41"/>
  <c r="M63" i="41"/>
  <c r="O63" i="41"/>
  <c r="M64" i="41"/>
  <c r="O64" i="41"/>
  <c r="M65" i="41"/>
  <c r="O65" i="41"/>
  <c r="M66" i="41"/>
  <c r="O66" i="41"/>
  <c r="M67" i="41"/>
  <c r="O67" i="41"/>
  <c r="M68" i="41"/>
  <c r="O68" i="41"/>
  <c r="M69" i="41"/>
  <c r="O69" i="41"/>
  <c r="M70" i="41"/>
  <c r="O70" i="41"/>
  <c r="M71" i="41"/>
  <c r="O71" i="41"/>
  <c r="M72" i="41"/>
  <c r="O72" i="41"/>
  <c r="M73" i="41"/>
  <c r="N73" i="41" s="1"/>
  <c r="O73" i="41"/>
  <c r="M74" i="41"/>
  <c r="O74" i="41"/>
  <c r="M75" i="41"/>
  <c r="O75" i="41"/>
  <c r="M76" i="41"/>
  <c r="O76" i="41"/>
  <c r="M77" i="41"/>
  <c r="O77" i="41"/>
  <c r="M78" i="41"/>
  <c r="O78" i="41"/>
  <c r="M79" i="41"/>
  <c r="O79" i="41"/>
  <c r="M80" i="41"/>
  <c r="O80" i="41"/>
  <c r="M81" i="41"/>
  <c r="O81" i="41"/>
  <c r="M82" i="41"/>
  <c r="O82" i="41"/>
  <c r="M83" i="41"/>
  <c r="O83" i="41"/>
  <c r="M84" i="41"/>
  <c r="O84" i="41"/>
  <c r="M85" i="41"/>
  <c r="O85" i="41"/>
  <c r="M86" i="41"/>
  <c r="O86" i="41"/>
  <c r="N86" i="41" s="1"/>
  <c r="M87" i="41"/>
  <c r="O87" i="41"/>
  <c r="M88" i="41"/>
  <c r="O88" i="41"/>
  <c r="M89" i="41"/>
  <c r="O89" i="41"/>
  <c r="M90" i="41"/>
  <c r="O90" i="41"/>
  <c r="M91" i="41"/>
  <c r="O91" i="41"/>
  <c r="M92" i="41"/>
  <c r="O92" i="41"/>
  <c r="M93" i="41"/>
  <c r="O93" i="41"/>
  <c r="M94" i="41"/>
  <c r="O94" i="41"/>
  <c r="M95" i="41"/>
  <c r="O95" i="41"/>
  <c r="M96" i="41"/>
  <c r="O96" i="41"/>
  <c r="M97" i="41"/>
  <c r="O97" i="41"/>
  <c r="M98" i="41"/>
  <c r="O98" i="41"/>
  <c r="M99" i="41"/>
  <c r="O99" i="41"/>
  <c r="M100" i="41"/>
  <c r="O100" i="41"/>
  <c r="M101" i="41"/>
  <c r="O101" i="41"/>
  <c r="D102" i="41"/>
  <c r="E102" i="41"/>
  <c r="F102" i="41"/>
  <c r="G102" i="41"/>
  <c r="H102" i="41"/>
  <c r="I102" i="41"/>
  <c r="J102" i="41"/>
  <c r="K102" i="41"/>
  <c r="L102" i="41"/>
  <c r="P102" i="41"/>
  <c r="P113" i="41" s="1"/>
  <c r="Q102" i="41"/>
  <c r="R102" i="41"/>
  <c r="S102" i="41"/>
  <c r="T102" i="41"/>
  <c r="U102" i="41"/>
  <c r="V102" i="41"/>
  <c r="M104" i="41"/>
  <c r="O104" i="41"/>
  <c r="M105" i="41"/>
  <c r="O105" i="41"/>
  <c r="M106" i="41"/>
  <c r="N106" i="41"/>
  <c r="O106" i="41"/>
  <c r="M107" i="41"/>
  <c r="O107" i="41"/>
  <c r="M108" i="41"/>
  <c r="N108" i="41" s="1"/>
  <c r="O108" i="41"/>
  <c r="M109" i="41"/>
  <c r="O109" i="41"/>
  <c r="M110" i="41"/>
  <c r="N110" i="41" s="1"/>
  <c r="O110" i="41"/>
  <c r="M111" i="41"/>
  <c r="O111" i="41"/>
  <c r="D112" i="41"/>
  <c r="D113" i="41" s="1"/>
  <c r="D117" i="41" s="1"/>
  <c r="E112" i="41"/>
  <c r="F112" i="41"/>
  <c r="G112" i="41"/>
  <c r="H112" i="41"/>
  <c r="H113" i="41" s="1"/>
  <c r="I112" i="41"/>
  <c r="J112" i="41"/>
  <c r="K112" i="41"/>
  <c r="L112" i="41"/>
  <c r="P112" i="41"/>
  <c r="Q112" i="41"/>
  <c r="R112" i="41"/>
  <c r="S112" i="41"/>
  <c r="S113" i="41" s="1"/>
  <c r="T112" i="41"/>
  <c r="U112" i="41"/>
  <c r="V112" i="41"/>
  <c r="L113" i="41"/>
  <c r="E115" i="41"/>
  <c r="F115" i="41"/>
  <c r="G115" i="41"/>
  <c r="H115" i="41"/>
  <c r="I115" i="41"/>
  <c r="J115" i="41"/>
  <c r="K115" i="41"/>
  <c r="L115" i="41"/>
  <c r="P115" i="41"/>
  <c r="Q115" i="41"/>
  <c r="R115" i="41"/>
  <c r="S115" i="41"/>
  <c r="T115" i="41"/>
  <c r="U115" i="41"/>
  <c r="V115" i="41"/>
  <c r="E116" i="41"/>
  <c r="F116" i="41"/>
  <c r="G116" i="41"/>
  <c r="H116" i="41"/>
  <c r="I116" i="41"/>
  <c r="J116" i="41"/>
  <c r="K116" i="41"/>
  <c r="L116" i="41"/>
  <c r="P116" i="41"/>
  <c r="Q116" i="41"/>
  <c r="R116" i="41"/>
  <c r="S116" i="41"/>
  <c r="T116" i="41"/>
  <c r="U116" i="41"/>
  <c r="V116" i="41"/>
  <c r="N44" i="41" l="1"/>
  <c r="N70" i="41"/>
  <c r="N38" i="41"/>
  <c r="N22" i="41"/>
  <c r="N89" i="41"/>
  <c r="N81" i="41"/>
  <c r="N77" i="41"/>
  <c r="N75" i="41"/>
  <c r="N41" i="41"/>
  <c r="O112" i="41"/>
  <c r="N9" i="41"/>
  <c r="T113" i="41"/>
  <c r="T117" i="41" s="1"/>
  <c r="N97" i="41"/>
  <c r="N93" i="41"/>
  <c r="N91" i="41"/>
  <c r="N60" i="41"/>
  <c r="N54" i="41"/>
  <c r="N33" i="41"/>
  <c r="N29" i="41"/>
  <c r="N27" i="41"/>
  <c r="N12" i="41"/>
  <c r="N92" i="41"/>
  <c r="N65" i="41"/>
  <c r="N61" i="41"/>
  <c r="N59" i="41"/>
  <c r="N28" i="41"/>
  <c r="N109" i="41"/>
  <c r="N76" i="41"/>
  <c r="N49" i="41"/>
  <c r="N45" i="41"/>
  <c r="N43" i="41"/>
  <c r="K113" i="41"/>
  <c r="K117" i="41" s="1"/>
  <c r="G113" i="41"/>
  <c r="G117" i="41" s="1"/>
  <c r="N111" i="41"/>
  <c r="N100" i="41"/>
  <c r="N94" i="41"/>
  <c r="N85" i="41"/>
  <c r="N83" i="41"/>
  <c r="N68" i="41"/>
  <c r="N62" i="41"/>
  <c r="N53" i="41"/>
  <c r="N51" i="41"/>
  <c r="N36" i="41"/>
  <c r="N30" i="41"/>
  <c r="N21" i="41"/>
  <c r="N19" i="41"/>
  <c r="J113" i="41"/>
  <c r="J117" i="41" s="1"/>
  <c r="F113" i="41"/>
  <c r="F117" i="41" s="1"/>
  <c r="N101" i="41"/>
  <c r="N99" i="41"/>
  <c r="N84" i="41"/>
  <c r="N78" i="41"/>
  <c r="N69" i="41"/>
  <c r="N67" i="41"/>
  <c r="N52" i="41"/>
  <c r="N46" i="41"/>
  <c r="N37" i="41"/>
  <c r="N35" i="41"/>
  <c r="N14" i="41"/>
  <c r="V113" i="41"/>
  <c r="V117" i="41" s="1"/>
  <c r="R113" i="41"/>
  <c r="R117" i="41" s="1"/>
  <c r="M102" i="41"/>
  <c r="N105" i="41"/>
  <c r="U113" i="41"/>
  <c r="U117" i="41" s="1"/>
  <c r="Q113" i="41"/>
  <c r="Q117" i="41" s="1"/>
  <c r="N96" i="41"/>
  <c r="N90" i="41"/>
  <c r="N87" i="41"/>
  <c r="N80" i="41"/>
  <c r="N74" i="41"/>
  <c r="N71" i="41"/>
  <c r="N64" i="41"/>
  <c r="N58" i="41"/>
  <c r="N55" i="41"/>
  <c r="N48" i="41"/>
  <c r="N42" i="41"/>
  <c r="N39" i="41"/>
  <c r="N32" i="41"/>
  <c r="N26" i="41"/>
  <c r="N23" i="41"/>
  <c r="I113" i="41"/>
  <c r="I117" i="41" s="1"/>
  <c r="E113" i="41"/>
  <c r="E117" i="41" s="1"/>
  <c r="P117" i="41"/>
  <c r="N107" i="41"/>
  <c r="N104" i="41"/>
  <c r="N98" i="41"/>
  <c r="N95" i="41"/>
  <c r="N88" i="41"/>
  <c r="N82" i="41"/>
  <c r="N79" i="41"/>
  <c r="N72" i="41"/>
  <c r="N66" i="41"/>
  <c r="N63" i="41"/>
  <c r="N56" i="41"/>
  <c r="N50" i="41"/>
  <c r="N47" i="41"/>
  <c r="N40" i="41"/>
  <c r="N34" i="41"/>
  <c r="N31" i="41"/>
  <c r="N24" i="41"/>
  <c r="N18" i="41"/>
  <c r="N13" i="41"/>
  <c r="S117" i="41"/>
  <c r="L117" i="41"/>
  <c r="H117" i="41"/>
  <c r="N10" i="41"/>
  <c r="M11" i="41"/>
  <c r="M15" i="41" s="1"/>
  <c r="M112" i="41"/>
  <c r="O102" i="41"/>
  <c r="O113" i="41" s="1"/>
  <c r="N20" i="41"/>
  <c r="O11" i="41"/>
  <c r="O15" i="41" s="1"/>
  <c r="E14" i="39"/>
  <c r="F13" i="39"/>
  <c r="G12" i="39"/>
  <c r="D12" i="39"/>
  <c r="F12" i="39" s="1"/>
  <c r="F11" i="39"/>
  <c r="G10" i="39"/>
  <c r="D10" i="39"/>
  <c r="F10" i="39" s="1"/>
  <c r="G9" i="39"/>
  <c r="D9" i="39"/>
  <c r="D14" i="39" s="1"/>
  <c r="F8" i="39"/>
  <c r="H16" i="38"/>
  <c r="G16" i="38"/>
  <c r="E16" i="38"/>
  <c r="D16" i="38"/>
  <c r="K15" i="38"/>
  <c r="J15" i="38"/>
  <c r="I15" i="38"/>
  <c r="F15" i="38"/>
  <c r="K14" i="38"/>
  <c r="J14" i="38"/>
  <c r="L14" i="38" s="1"/>
  <c r="I14" i="38"/>
  <c r="F14" i="38"/>
  <c r="K13" i="38"/>
  <c r="J13" i="38"/>
  <c r="L13" i="38" s="1"/>
  <c r="I13" i="38"/>
  <c r="F13" i="38"/>
  <c r="K12" i="38"/>
  <c r="J12" i="38"/>
  <c r="L12" i="38" s="1"/>
  <c r="I12" i="38"/>
  <c r="F12" i="38"/>
  <c r="K11" i="38"/>
  <c r="J11" i="38"/>
  <c r="I11" i="38"/>
  <c r="F11" i="38"/>
  <c r="K10" i="38"/>
  <c r="J10" i="38"/>
  <c r="L10" i="38" s="1"/>
  <c r="I10" i="38"/>
  <c r="F10" i="38"/>
  <c r="K8" i="38"/>
  <c r="J8" i="38"/>
  <c r="I8" i="38"/>
  <c r="F8" i="38"/>
  <c r="K9" i="38"/>
  <c r="J9" i="38"/>
  <c r="I9" i="38"/>
  <c r="F9" i="38"/>
  <c r="G14" i="39" l="1"/>
  <c r="I9" i="39"/>
  <c r="K9" i="39" s="1"/>
  <c r="K12" i="39"/>
  <c r="I12" i="39"/>
  <c r="N11" i="41"/>
  <c r="N15" i="41" s="1"/>
  <c r="I10" i="39"/>
  <c r="K10" i="39" s="1"/>
  <c r="M113" i="41"/>
  <c r="M117" i="41" s="1"/>
  <c r="N112" i="41"/>
  <c r="O117" i="41"/>
  <c r="N116" i="41"/>
  <c r="N102" i="41"/>
  <c r="N113" i="41" s="1"/>
  <c r="N117" i="41" s="1"/>
  <c r="N115" i="41"/>
  <c r="F14" i="39"/>
  <c r="L15" i="38"/>
  <c r="L11" i="38"/>
  <c r="I16" i="38"/>
  <c r="F16" i="38"/>
  <c r="K16" i="38"/>
  <c r="L8" i="38"/>
  <c r="L9" i="38"/>
  <c r="F9" i="39"/>
  <c r="J16" i="38"/>
  <c r="K14" i="39" l="1"/>
  <c r="I14" i="39"/>
  <c r="L16" i="38"/>
</calcChain>
</file>

<file path=xl/sharedStrings.xml><?xml version="1.0" encoding="utf-8"?>
<sst xmlns="http://schemas.openxmlformats.org/spreadsheetml/2006/main" count="472" uniqueCount="312">
  <si>
    <t>Egyetemi szintű irányítási és szolgáltatási feladatok</t>
  </si>
  <si>
    <t>Mindösszesen:</t>
  </si>
  <si>
    <t>EFt</t>
  </si>
  <si>
    <t>Dologi kiadások</t>
  </si>
  <si>
    <t>Ellátottak pénzbeli juttatásai</t>
  </si>
  <si>
    <t>Megnevezés</t>
  </si>
  <si>
    <t>Gazdaság- és  Társadalom-tudományi         Kar</t>
  </si>
  <si>
    <t>Mezőgazd.- és Környezet-tudományi          Kar</t>
  </si>
  <si>
    <t>Gödöllői nem kari jogállású szervezeti egységek</t>
  </si>
  <si>
    <t>Pénzbeli juttatás</t>
  </si>
  <si>
    <t>Bursa ösztöndíj</t>
  </si>
  <si>
    <t>Dokt. ösztöndíj</t>
  </si>
  <si>
    <t>Köztársasági öszt.</t>
  </si>
  <si>
    <t>Tank.jegyz.,sport-kult. tám.</t>
  </si>
  <si>
    <t>Kollégiumi tám.</t>
  </si>
  <si>
    <t>Lakhatási támog.</t>
  </si>
  <si>
    <t>Miniszteri ösztöndíj</t>
  </si>
  <si>
    <t>Hallg.elői.összesen:</t>
  </si>
  <si>
    <t>Doktori képzés</t>
  </si>
  <si>
    <t>Képz.-tud.és fennt.támogatás</t>
  </si>
  <si>
    <t>Támogatás</t>
  </si>
  <si>
    <t>Saját bevétel</t>
  </si>
  <si>
    <t>Munkaadói járulékok</t>
  </si>
  <si>
    <t>Évközben felosztandó támogatás</t>
  </si>
  <si>
    <t>Egység megnevezés</t>
  </si>
  <si>
    <t xml:space="preserve">Bevétel </t>
  </si>
  <si>
    <t>Személyi kiadások</t>
  </si>
  <si>
    <t>Dologi</t>
  </si>
  <si>
    <t>Ellátottak pénzbeli jutt.</t>
  </si>
  <si>
    <t>Összesen</t>
  </si>
  <si>
    <t>Mindösszesen</t>
  </si>
  <si>
    <t xml:space="preserve"> - Egyetemi Könyvtár és Levéltár</t>
  </si>
  <si>
    <t>Ybl Miklós Építést. Kar</t>
  </si>
  <si>
    <t>Élelmiszer-Tudományi Kar</t>
  </si>
  <si>
    <t>Tájépítészeti és Településtervezési Kar</t>
  </si>
  <si>
    <t>Kertészettudományi Kar</t>
  </si>
  <si>
    <t>Élelmiszertudományi Kar</t>
  </si>
  <si>
    <t>Ösztöndíjasok után</t>
  </si>
  <si>
    <t>Kifutók után</t>
  </si>
  <si>
    <t>Összes támogatás</t>
  </si>
  <si>
    <t>Képzési támogatás</t>
  </si>
  <si>
    <t>Kar megnevezése</t>
  </si>
  <si>
    <t>Hozzájárulás az egyetemi szintű irányítási és szolgáltatási feladatok ellátásához</t>
  </si>
  <si>
    <t>Gazdaság- és  Társadalomtudományi  Kar</t>
  </si>
  <si>
    <t>Gépészmérnöki Kar</t>
  </si>
  <si>
    <t>Mezőgazasági - és  Környezettudományi Kar</t>
  </si>
  <si>
    <t>Ybl Miklós Építéstudományi Kar</t>
  </si>
  <si>
    <t>4=2+3</t>
  </si>
  <si>
    <t>5. sz. melléklet</t>
  </si>
  <si>
    <t>6=4-5</t>
  </si>
  <si>
    <t>Budai Campus Igazgatóság</t>
  </si>
  <si>
    <t>Kertészet-tudományi Kar</t>
  </si>
  <si>
    <t>Illetménytöbblet támogatás</t>
  </si>
  <si>
    <t>4.sz. melléklet</t>
  </si>
  <si>
    <t>Költségtérítéses bevétel és átvett pénzeszköz mindösszesen                                                                                   (EFt)</t>
  </si>
  <si>
    <t>Alkalmazotti+ hallgatói létszám+támo-gatás és bevétel átlaga alapján számított értékek</t>
  </si>
  <si>
    <t xml:space="preserve"> Fő</t>
  </si>
  <si>
    <t>%</t>
  </si>
  <si>
    <t>Összeg (EFt)</t>
  </si>
  <si>
    <t>Fő</t>
  </si>
  <si>
    <t>11=(4+7+10)/3</t>
  </si>
  <si>
    <t>Gazdaság- és  Társadalomtudományi Kar</t>
  </si>
  <si>
    <t>Mezőgazdaság- Környezettudományi Kar</t>
  </si>
  <si>
    <t>Felújítás</t>
  </si>
  <si>
    <t xml:space="preserve"> PPP projektek támogatása</t>
  </si>
  <si>
    <t>Speciális programok  támogatása</t>
  </si>
  <si>
    <t>Egyetem szintű irányítási és szolgáltatási feladatokat  ellátó szervezeti egységek 2017. évi költségvetése</t>
  </si>
  <si>
    <t>A Szent István Egyetem 2017. évi költségvetése szervezeti egységenként</t>
  </si>
  <si>
    <t>Összegyetemi feladatok ellátása  és DHTH</t>
  </si>
  <si>
    <t xml:space="preserve"> 2017. évi hozzájárulás  az egyetemi szintű irányítási és szolgáltatási feladatok ellátásához</t>
  </si>
  <si>
    <t xml:space="preserve">Szent István Egyetem 2017. évi képzési támogatása                                          </t>
  </si>
  <si>
    <t>Ösztöndíjas, államilag fin.</t>
  </si>
  <si>
    <t xml:space="preserve">Összes </t>
  </si>
  <si>
    <t>Költségtérítéses képzés</t>
  </si>
  <si>
    <t>Nappali</t>
  </si>
  <si>
    <t>Leveleő</t>
  </si>
  <si>
    <t>7=5+6</t>
  </si>
  <si>
    <t>8=2+5</t>
  </si>
  <si>
    <t>9=3+6</t>
  </si>
  <si>
    <t>10=8+9</t>
  </si>
  <si>
    <t>3. számú melléklet</t>
  </si>
  <si>
    <t>T</t>
  </si>
  <si>
    <t>2017. évi eredeti előirányzat:</t>
  </si>
  <si>
    <t>előirányzatok támogatási forrással fedezett része</t>
  </si>
  <si>
    <t>előirányzatok bevételi forrással fedezett része</t>
  </si>
  <si>
    <t>B</t>
  </si>
  <si>
    <t>Változások mindösszesen:</t>
  </si>
  <si>
    <t>Szintrehozás összesen</t>
  </si>
  <si>
    <t>Szent István Egyetem ABPK kar kiválása a Szent István Egyetemből az Eszterházy Károly Egyetembe</t>
  </si>
  <si>
    <t>Állatorvostudományi Egyetem kiválása a Szent István Egyetemből</t>
  </si>
  <si>
    <t>(NYmE)
Roth Gyula Gyakkorló SZKI és Kollégium fenntartói jogának átadása XII. Földművelésügyi Minisztérium 6. Mezőgazdasági középfokú szakoktatás intézményei cím javára (2018/2015. (XII. 29.) Korm. hat)</t>
  </si>
  <si>
    <t>A Kaposvári Egyetem Gyakolró Ált. Isk. és Gimn. fenntartói jogának átadása a 18. cím KLIK részére</t>
  </si>
  <si>
    <t>Szintrehozás:</t>
  </si>
  <si>
    <t>Szerkezeti változások összesen:</t>
  </si>
  <si>
    <t>Kerekítés</t>
  </si>
  <si>
    <t>Szent István Egyetem ABPK kar kiválása a Szent István Egyetemből az Eszterházy Károly Egyetembe, 2016. évi eredeti előirányzat</t>
  </si>
  <si>
    <t>Állatorvostudományi Egyetem kiválása a Szent István Egyetemből, 2016. évi eredeti előirányzat</t>
  </si>
  <si>
    <t>Károly Róbert Főiskola  beolvadása a Eszterházy Károly Egyetembe, 2016. évi előirányzat</t>
  </si>
  <si>
    <t>Eszterházy Károly Főiskola  beolvadása a Eszterházy Károly Egyetembe, 2016. évi eredeti előirányzat</t>
  </si>
  <si>
    <t>Szolnoki Főiskola  beolvadása a Pallasz Athéné Egyetembe, 2016. évi előirányzat</t>
  </si>
  <si>
    <t>Kecskeméti Főiskola  beolvadása a Pallasz Athéné Egyetembe, 2016. évi előirányzat</t>
  </si>
  <si>
    <t>Fenntartói támogatás többlet vagy csökkenés</t>
  </si>
  <si>
    <t>Stipendium Hungaricum Ösztöndíjprogram támogatási többlet</t>
  </si>
  <si>
    <t>Stipendium Hungaricum Ösztöndíjprogram támogatása (fejezetek közötti átvételből)</t>
  </si>
  <si>
    <t>NOKS / Pedagógusok nevelő-oktató munkáját közvetlenül segítők támogatása</t>
  </si>
  <si>
    <t>Pedagógus életpálya minősítés miatti többlet</t>
  </si>
  <si>
    <t>Pedagógus életpálya ütemezett bevezetéséből adódó többlet</t>
  </si>
  <si>
    <t>Képzési támogatás többlete</t>
  </si>
  <si>
    <t>Doktorandusz képzés átalakítása</t>
  </si>
  <si>
    <t>Stipendium Hungaricum Ösztöndíjprogram megvalósítása</t>
  </si>
  <si>
    <t>Oktatók, kutatók, tanárok 5 % bértöbblete</t>
  </si>
  <si>
    <t>Oktatók, kutatók és tanárok 2016. évi 15 %-os béremelésének részbeni fedezetére ei. átvezetés a 20/3/4 sorról</t>
  </si>
  <si>
    <t>Testnevelési Egyetem új kampusza</t>
  </si>
  <si>
    <t>A Szent István Egyetem Gyakorló Sport Ált. Isk. és Gimn. fenntartói jogának átadása a 18. cím KLIK részére</t>
  </si>
  <si>
    <t>PTE alapításának 650 éves jubileuma</t>
  </si>
  <si>
    <t xml:space="preserve"> PTE idegennyelvű képzés kapacitásfejlesztése</t>
  </si>
  <si>
    <t>(NYmE) 
Roth Gyula Gyakkorló SZKI és Kollégium fenntartói jogának átadása XII. Földművelésügyi Minisztérium 6. Mezőgazdasági középfokú szakoktatás intézményei cím javára (2018/2015. (XII. 29.) Korm. hat)</t>
  </si>
  <si>
    <t>(NYE) 
Az Apáczai Csere János Gyakorló Ált. Isk. és AMI fenntartói jogának átadása a 18. cím KLIK részére</t>
  </si>
  <si>
    <t>Eötvös József Főisk. Gyak. Ált.Isk. fenntartói jogának átadása 18.cím KLIK részére</t>
  </si>
  <si>
    <t>forrásátvezetés (bevétel)</t>
  </si>
  <si>
    <t>forrásátvezetés (támogatás)</t>
  </si>
  <si>
    <t>létszámváltozás</t>
  </si>
  <si>
    <t>kiemelt előirányzatok közötti átvezetés (bevétel)</t>
  </si>
  <si>
    <t>kiemelt előirányzatok közötti átvezetés (támogatás)</t>
  </si>
  <si>
    <t>bevétel változás ei. rendezése és kerekítés</t>
  </si>
  <si>
    <t>Szerkezeti változások:</t>
  </si>
  <si>
    <t>korrigált 2016. évi eredeti előirányzat</t>
  </si>
  <si>
    <t>2016. évi eredeti előirányzat összesen:</t>
  </si>
  <si>
    <t>2016. évi Kincstári költségvetés (végleges)</t>
  </si>
  <si>
    <t>B7</t>
  </si>
  <si>
    <t>B6</t>
  </si>
  <si>
    <t>B5</t>
  </si>
  <si>
    <t>B4</t>
  </si>
  <si>
    <t>B3</t>
  </si>
  <si>
    <t>B2</t>
  </si>
  <si>
    <t>B1</t>
  </si>
  <si>
    <t>B1+…+B7</t>
  </si>
  <si>
    <t>B816</t>
  </si>
  <si>
    <t>K1+…+K8</t>
  </si>
  <si>
    <t>K8</t>
  </si>
  <si>
    <t>K7</t>
  </si>
  <si>
    <t>K6</t>
  </si>
  <si>
    <t>K5</t>
  </si>
  <si>
    <t>K4</t>
  </si>
  <si>
    <t>K3</t>
  </si>
  <si>
    <t>K2</t>
  </si>
  <si>
    <t>K1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</si>
  <si>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</si>
  <si>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</si>
  <si>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</si>
  <si>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</si>
  <si>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</t>
  </si>
  <si>
    <t>Felhalmozási célú támogatások áht-n belülről</t>
  </si>
  <si>
    <t>Működési célú támogatások áht-n belülről</t>
  </si>
  <si>
    <t>Költségvetési bevételek összesen</t>
  </si>
  <si>
    <t>Költségvetési kiadások összesen</t>
  </si>
  <si>
    <t>Egyéb felhalmozási célú kiadások</t>
  </si>
  <si>
    <t>Felújítások</t>
  </si>
  <si>
    <t>Beruházások</t>
  </si>
  <si>
    <t>Egyéb működési célú kiadások</t>
  </si>
  <si>
    <t>Munkaadókat terhelő járulékok és szociális hozzájárulási adó</t>
  </si>
  <si>
    <t>Személyi juttatások</t>
  </si>
  <si>
    <t>Bevétel</t>
  </si>
  <si>
    <t>Központi, irányítószervi támogatás</t>
  </si>
  <si>
    <t>Kiadás</t>
  </si>
  <si>
    <t>Tervezett átlagos statisztikai állományi létszám (fő)
(tájékoztató adat)</t>
  </si>
  <si>
    <t>Jogcím</t>
  </si>
  <si>
    <t>B/T</t>
  </si>
  <si>
    <t xml:space="preserve">EMMI által meghatározott 2017. évi intézményi keretszám </t>
  </si>
  <si>
    <t>1. számú melléklet</t>
  </si>
  <si>
    <t>Átszámított alkalmazotti                                           létszám                                                                       (2017. január 1-én)</t>
  </si>
  <si>
    <t>Hallgatói létszám                                          2016. okt. 15-i statisztika alapján</t>
  </si>
  <si>
    <t xml:space="preserve">Szent István Egyetem 2017. évi doktoranduszok  létszámának és támogatásának karonkénti alakulása                              </t>
  </si>
  <si>
    <t>Szent István Egyetem 2017. évi hallgatói előirányzat alakulása</t>
  </si>
  <si>
    <t>Hallgatói normatíva         megnevezése</t>
  </si>
  <si>
    <t>Élelmiszer-tudományi Kar</t>
  </si>
  <si>
    <t>Gépészmérnöki                     Kar</t>
  </si>
  <si>
    <t>Gazd.és  Társadalom-tud. Kar</t>
  </si>
  <si>
    <t>Mg.és Körny. Tud. Kar</t>
  </si>
  <si>
    <t>Tájép. és Településterv. Kar</t>
  </si>
  <si>
    <t>Ösztöndíj</t>
  </si>
  <si>
    <t>létszám /fő/</t>
  </si>
  <si>
    <t>részösztöndíj létszám /fő/</t>
  </si>
  <si>
    <t>119 000-Ft/év</t>
  </si>
  <si>
    <t>EHÖK 1%</t>
  </si>
  <si>
    <t>Összesen:</t>
  </si>
  <si>
    <t>PHD ösztöndíj</t>
  </si>
  <si>
    <t>létszám/fő/</t>
  </si>
  <si>
    <t>1 200 000,-Ft/év</t>
  </si>
  <si>
    <t>Köztársasági ösztöndíj</t>
  </si>
  <si>
    <t>340 000-Ft/év</t>
  </si>
  <si>
    <t>Lakhatási támogatás</t>
  </si>
  <si>
    <t>60 000-Ft/év</t>
  </si>
  <si>
    <t>Tankönyv-  jegyzet, sport és kulturális  támogatás</t>
  </si>
  <si>
    <t>11 900-Ft/év</t>
  </si>
  <si>
    <t>Kollégiumi ellátás</t>
  </si>
  <si>
    <t>116 500-Ft/év</t>
  </si>
  <si>
    <t xml:space="preserve">Miniszteri ösztöndíj </t>
  </si>
  <si>
    <t>Hallgatói előirányzat mindösszesen:</t>
  </si>
  <si>
    <t>Rektor közvetlen irányítása alá tartozó funkc. és szolg. szervezeti egységek</t>
  </si>
  <si>
    <t xml:space="preserve"> - Humánpolitikai Főosztály </t>
  </si>
  <si>
    <t xml:space="preserve"> - Tehetséggondozási és Karrier Iroda </t>
  </si>
  <si>
    <t xml:space="preserve"> - Doktori, Habil. és Tudományszerv. Hivatal </t>
  </si>
  <si>
    <t xml:space="preserve"> - Nemzetközi és Külkapcsolati Iroda </t>
  </si>
  <si>
    <t xml:space="preserve"> - Egyetemi Minőségügyi Központ </t>
  </si>
  <si>
    <t>Kancellár hatáskörébe tartozó szervezeti egységek</t>
  </si>
  <si>
    <t xml:space="preserve">Belső Ellenőrzési Főosztály </t>
  </si>
  <si>
    <t>Kancellária</t>
  </si>
  <si>
    <t xml:space="preserve">Számviteli, Kontrolling és Pénzügyi Igazgatóság </t>
  </si>
  <si>
    <t>Beszerzési és Közbeszerzési Főosztály</t>
  </si>
  <si>
    <t xml:space="preserve">Biztonságszervezési és Műszaki Igazgatóság </t>
  </si>
  <si>
    <t>Pályázati és Innovációs Főosztály</t>
  </si>
  <si>
    <t xml:space="preserve">Sport Iroda </t>
  </si>
  <si>
    <t>Gödöllői Botanikus Kert</t>
  </si>
  <si>
    <t xml:space="preserve"> - Rektori titkárság</t>
  </si>
  <si>
    <t>Kari hozzá-járulás</t>
  </si>
  <si>
    <t>Költségv. tám</t>
  </si>
  <si>
    <t>Beruházás</t>
  </si>
  <si>
    <t xml:space="preserve">Egyéb működési célú kiadások </t>
  </si>
  <si>
    <t xml:space="preserve"> - Egyetemi Hallgatói Önkormányzat</t>
  </si>
  <si>
    <t xml:space="preserve"> - Műszaki, Informatikai Oktató és Kutató Központ*</t>
  </si>
  <si>
    <t>* Zöld Ipari Innovációs Iroda</t>
  </si>
  <si>
    <t>Stratégiai és Koordinációs Főigazgatóság</t>
  </si>
  <si>
    <t xml:space="preserve">Szent István Egyetem 2017 . évi  hallgatói létszám alakulása   (2016. évi októberi statisztika alapján)                           </t>
  </si>
  <si>
    <r>
      <t xml:space="preserve">            </t>
    </r>
    <r>
      <rPr>
        <sz val="10"/>
        <color rgb="FF000000"/>
        <rFont val="Calibri"/>
        <family val="2"/>
        <charset val="238"/>
      </rPr>
      <t>•</t>
    </r>
    <r>
      <rPr>
        <sz val="10"/>
        <color rgb="FF000000"/>
        <rFont val="Times New Roman"/>
        <family val="1"/>
        <charset val="238"/>
      </rPr>
      <t xml:space="preserve"> KAVIK</t>
    </r>
  </si>
  <si>
    <r>
      <t xml:space="preserve">            </t>
    </r>
    <r>
      <rPr>
        <sz val="10"/>
        <rFont val="Calibri"/>
        <family val="2"/>
        <charset val="238"/>
      </rPr>
      <t xml:space="preserve">• </t>
    </r>
    <r>
      <rPr>
        <sz val="10"/>
        <rFont val="Times New Roman"/>
        <family val="1"/>
        <charset val="238"/>
      </rPr>
      <t>PR Sajtó- és Rendezvényszervezési Főoszt.</t>
    </r>
  </si>
  <si>
    <r>
      <t xml:space="preserve">ebből: </t>
    </r>
    <r>
      <rPr>
        <sz val="10"/>
        <color rgb="FF000000"/>
        <rFont val="Calibri"/>
        <family val="2"/>
        <charset val="238"/>
      </rPr>
      <t xml:space="preserve">• </t>
    </r>
    <r>
      <rPr>
        <sz val="10"/>
        <color rgb="FF000000"/>
        <rFont val="Times New Roman"/>
        <family val="1"/>
        <charset val="238"/>
      </rPr>
      <t>Stratégiai és Koordinációs Főigazgatóság</t>
    </r>
  </si>
  <si>
    <r>
      <t xml:space="preserve">            </t>
    </r>
    <r>
      <rPr>
        <sz val="10"/>
        <color rgb="FF000000"/>
        <rFont val="Calibri"/>
        <family val="2"/>
        <charset val="238"/>
      </rPr>
      <t xml:space="preserve">• </t>
    </r>
    <r>
      <rPr>
        <sz val="10"/>
        <color rgb="FF000000"/>
        <rFont val="Times New Roman"/>
        <family val="1"/>
        <charset val="238"/>
      </rPr>
      <t>Szaktanácsadási és Továbbképzési Központ</t>
    </r>
  </si>
  <si>
    <r>
      <t xml:space="preserve">                </t>
    </r>
    <r>
      <rPr>
        <sz val="10"/>
        <color rgb="FF000000"/>
        <rFont val="Calibri"/>
        <family val="2"/>
        <charset val="238"/>
      </rPr>
      <t>•</t>
    </r>
    <r>
      <rPr>
        <sz val="10"/>
        <color rgb="FF000000"/>
        <rFont val="Times New Roman"/>
        <family val="1"/>
        <charset val="238"/>
      </rPr>
      <t xml:space="preserve">  Kosáry Domokos Könyvtár </t>
    </r>
  </si>
  <si>
    <r>
      <t xml:space="preserve">ebből:  </t>
    </r>
    <r>
      <rPr>
        <sz val="10"/>
        <color rgb="FF000000"/>
        <rFont val="Calibri"/>
        <family val="2"/>
        <charset val="238"/>
      </rPr>
      <t>●</t>
    </r>
    <r>
      <rPr>
        <sz val="9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Zöld Út Nyelvvizsga Központ</t>
    </r>
  </si>
  <si>
    <r>
      <t xml:space="preserve">ebből : </t>
    </r>
    <r>
      <rPr>
        <sz val="10"/>
        <color theme="1"/>
        <rFont val="Calibri"/>
        <family val="2"/>
        <charset val="238"/>
      </rPr>
      <t>●</t>
    </r>
    <r>
      <rPr>
        <sz val="9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Oktatási Igazgatóság</t>
    </r>
  </si>
  <si>
    <t xml:space="preserve">            ● Egyetemi Tanulmányi Hivatal</t>
  </si>
  <si>
    <r>
      <t xml:space="preserve">            </t>
    </r>
    <r>
      <rPr>
        <sz val="10"/>
        <color theme="1"/>
        <rFont val="Calibri"/>
        <family val="2"/>
        <charset val="238"/>
      </rPr>
      <t>●</t>
    </r>
    <r>
      <rPr>
        <sz val="9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Békési Campus Tanulmnyi Osztály</t>
    </r>
  </si>
  <si>
    <r>
      <t xml:space="preserve">            </t>
    </r>
    <r>
      <rPr>
        <sz val="10"/>
        <color theme="1"/>
        <rFont val="Calibri"/>
        <family val="2"/>
        <charset val="238"/>
      </rPr>
      <t xml:space="preserve">● </t>
    </r>
    <r>
      <rPr>
        <sz val="10"/>
        <color theme="1"/>
        <rFont val="Times New Roman"/>
        <family val="1"/>
        <charset val="238"/>
      </rPr>
      <t>Budai Campus Tanulmányi Osztály</t>
    </r>
  </si>
  <si>
    <t xml:space="preserve">            ● Ybl Tanulmányi Osztály</t>
  </si>
  <si>
    <t>DHDT műk.                     hozzájárulás*</t>
  </si>
  <si>
    <t>Doktori Iskolák támogatás</t>
  </si>
  <si>
    <t xml:space="preserve">Képzési támogatás </t>
  </si>
  <si>
    <t>Képzési támogatás összesen:</t>
  </si>
  <si>
    <t>2016.évi Stipendium tám.kieg.</t>
  </si>
  <si>
    <t>Támogatás összesen:</t>
  </si>
  <si>
    <t>Bursa H. intézményi rész</t>
  </si>
  <si>
    <t>Agrár-  és Gazdaság-tudományi  Kar</t>
  </si>
  <si>
    <t>Kari támogatás összesen (30%)</t>
  </si>
  <si>
    <t>Agrár-  és Gazdaságtudományi Kar</t>
  </si>
  <si>
    <t>Agrár- és Gazdaságtudományi Kar</t>
  </si>
  <si>
    <t xml:space="preserve">Bursa Hungarica </t>
  </si>
  <si>
    <t>Bevétel mindösszesen:</t>
  </si>
  <si>
    <t>Személyi juttatás</t>
  </si>
  <si>
    <t>Felhalmozási kiadások</t>
  </si>
  <si>
    <t>Egyéb működési célú kiadás</t>
  </si>
  <si>
    <t>ösztöndíj</t>
  </si>
  <si>
    <t xml:space="preserve"> Informatikai Főosztály</t>
  </si>
  <si>
    <t xml:space="preserve">Oktatási Igazgatóság </t>
  </si>
  <si>
    <t xml:space="preserve">Szaknyelvoktatási és Vizsgáztatási Központ </t>
  </si>
  <si>
    <r>
      <t xml:space="preserve">ebből:  </t>
    </r>
    <r>
      <rPr>
        <sz val="10"/>
        <color rgb="FF000000"/>
        <rFont val="Calibri"/>
        <family val="2"/>
        <charset val="238"/>
      </rPr>
      <t>●</t>
    </r>
    <r>
      <rPr>
        <sz val="10"/>
        <color rgb="FF000000"/>
        <rFont val="Times New Roman"/>
        <family val="1"/>
        <charset val="238"/>
      </rPr>
      <t xml:space="preserve"> rezsi költség</t>
    </r>
  </si>
  <si>
    <r>
      <t xml:space="preserve"> ebből:     </t>
    </r>
    <r>
      <rPr>
        <sz val="10"/>
        <color rgb="FF000000"/>
        <rFont val="Calibri"/>
        <family val="2"/>
        <charset val="238"/>
      </rPr>
      <t>•</t>
    </r>
    <r>
      <rPr>
        <sz val="10"/>
        <color rgb="FF000000"/>
        <rFont val="Times New Roman"/>
        <family val="1"/>
        <charset val="238"/>
      </rPr>
      <t xml:space="preserve">  Levéltár</t>
    </r>
  </si>
  <si>
    <t>Gödöllői Kollégiumok</t>
  </si>
  <si>
    <t>Egyetemi Könyvtár és Levéltár</t>
  </si>
  <si>
    <t xml:space="preserve">Mg-i Eszköz- és Gépfejlődéstört. Szakmúzeum </t>
  </si>
  <si>
    <r>
      <t xml:space="preserve">ebből :     </t>
    </r>
    <r>
      <rPr>
        <sz val="10"/>
        <color theme="1"/>
        <rFont val="Calibri"/>
        <family val="2"/>
        <charset val="238"/>
      </rPr>
      <t xml:space="preserve">•  </t>
    </r>
    <r>
      <rPr>
        <sz val="10"/>
        <color theme="1"/>
        <rFont val="Times New Roman"/>
        <family val="1"/>
        <charset val="238"/>
      </rPr>
      <t>Gödöllői Campus Tanulmányi Osztály</t>
    </r>
  </si>
  <si>
    <r>
      <t xml:space="preserve">ebből:      </t>
    </r>
    <r>
      <rPr>
        <sz val="10"/>
        <color rgb="FF000000"/>
        <rFont val="Calibri"/>
        <family val="2"/>
        <charset val="238"/>
      </rPr>
      <t>•</t>
    </r>
    <r>
      <rPr>
        <sz val="10"/>
        <color rgb="FF000000"/>
        <rFont val="Times New Roman"/>
        <family val="1"/>
        <charset val="238"/>
      </rPr>
      <t xml:space="preserve">  Operatív Szaknyelvoktatás</t>
    </r>
  </si>
  <si>
    <r>
      <t xml:space="preserve">ebből: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Gödöllői Campus Üzemeltetése</t>
    </r>
  </si>
  <si>
    <r>
      <t xml:space="preserve">          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Gödöllői Campus Közüzemi kiadásai</t>
    </r>
  </si>
  <si>
    <r>
      <t xml:space="preserve">            </t>
    </r>
    <r>
      <rPr>
        <sz val="10"/>
        <rFont val="Calibri"/>
        <family val="2"/>
        <charset val="238"/>
      </rPr>
      <t xml:space="preserve">•   </t>
    </r>
    <r>
      <rPr>
        <sz val="10"/>
        <rFont val="Times New Roman"/>
        <family val="1"/>
        <charset val="238"/>
      </rPr>
      <t>Gödöllői gondnoksági és Kertészeti Osztály</t>
    </r>
  </si>
  <si>
    <r>
      <t xml:space="preserve">            </t>
    </r>
    <r>
      <rPr>
        <sz val="10"/>
        <rFont val="Calibri"/>
        <family val="2"/>
        <charset val="238"/>
      </rPr>
      <t xml:space="preserve">•   </t>
    </r>
    <r>
      <rPr>
        <sz val="10"/>
        <rFont val="Times New Roman"/>
        <family val="1"/>
        <charset val="238"/>
      </rPr>
      <t>Izotop Laboratorium</t>
    </r>
  </si>
  <si>
    <r>
      <t xml:space="preserve">          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Gödöllői Campus Rendészeti Osztály</t>
    </r>
  </si>
  <si>
    <r>
      <t xml:space="preserve">            </t>
    </r>
    <r>
      <rPr>
        <sz val="10"/>
        <rFont val="Calibri"/>
        <family val="2"/>
        <charset val="238"/>
      </rPr>
      <t>•</t>
    </r>
    <r>
      <rPr>
        <sz val="10"/>
        <rFont val="Times New Roman"/>
        <family val="1"/>
        <charset val="238"/>
      </rPr>
      <t xml:space="preserve">  Ingatlangazdálkodási Osztály</t>
    </r>
  </si>
  <si>
    <r>
      <t xml:space="preserve">          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Járűvekkel kapcsolatos feladatok</t>
    </r>
  </si>
  <si>
    <r>
      <t xml:space="preserve">          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Gödöllői Campushoz tartozó üdülők</t>
    </r>
  </si>
  <si>
    <r>
      <t xml:space="preserve">            </t>
    </r>
    <r>
      <rPr>
        <sz val="10"/>
        <rFont val="Calibri"/>
        <family val="2"/>
        <charset val="238"/>
      </rPr>
      <t xml:space="preserve">•  </t>
    </r>
    <r>
      <rPr>
        <sz val="10"/>
        <rFont val="Times New Roman"/>
        <family val="1"/>
        <charset val="238"/>
      </rPr>
      <t>Beruházási Osztály</t>
    </r>
  </si>
  <si>
    <t>Speciális programok támogatása</t>
  </si>
  <si>
    <t xml:space="preserve">Kari hozzájárulások </t>
  </si>
  <si>
    <t>4/a.sz. melléklet</t>
  </si>
  <si>
    <t>Gödöllői nem kari jogállású szervezeti egységek 2017. évi költségvetése</t>
  </si>
  <si>
    <t>Egyenleg</t>
  </si>
  <si>
    <t>Évközben felosztandó támogatás, várható pótelőirányzat és bevétel</t>
  </si>
  <si>
    <t>Kiadás mindösszesen:</t>
  </si>
  <si>
    <t>Gépészmérnöki    Kar</t>
  </si>
  <si>
    <t>Kertészet-tudományi           Kar</t>
  </si>
  <si>
    <t>Agrár-  és Gazdaság-tudományi                      Kar</t>
  </si>
  <si>
    <t>Tájépítészeti és Település-tervezési               Kar</t>
  </si>
  <si>
    <t>Doktorandusz képzési támogatás</t>
  </si>
  <si>
    <t>Oktatók, kutatók garantált illetm. növelésének 2017. évi fedezete</t>
  </si>
  <si>
    <t>PPP projektek támogatása</t>
  </si>
  <si>
    <t>2017. évi Stipendium támogatás</t>
  </si>
  <si>
    <t>Stipendium támogogatás összesen:</t>
  </si>
  <si>
    <t>Központi feladatokhoz hozzájárulás</t>
  </si>
  <si>
    <t>GTK</t>
  </si>
  <si>
    <t>MKK</t>
  </si>
  <si>
    <t>2017. évi költségvetés levezetése</t>
  </si>
  <si>
    <t xml:space="preserve">Hallgatói előirányzat </t>
  </si>
  <si>
    <t xml:space="preserve">Speciális programok </t>
  </si>
  <si>
    <t>PPP hozzájárulás</t>
  </si>
  <si>
    <t>Stipendium Hungaricum ösztöndíj</t>
  </si>
  <si>
    <t>AGK</t>
  </si>
  <si>
    <t>ÉTK</t>
  </si>
  <si>
    <t xml:space="preserve">GEK </t>
  </si>
  <si>
    <t>KETK</t>
  </si>
  <si>
    <t>TÁJK</t>
  </si>
  <si>
    <t>YBL</t>
  </si>
  <si>
    <t>DHTH</t>
  </si>
  <si>
    <t xml:space="preserve">ebből kell finanszírozni:        </t>
  </si>
  <si>
    <t>• Budai Campus rezsi</t>
  </si>
  <si>
    <t>• járulék</t>
  </si>
  <si>
    <t>• működési költségek (PPP nélkül)</t>
  </si>
  <si>
    <t>• Gödöllői Campus rezsi</t>
  </si>
  <si>
    <r>
      <rPr>
        <sz val="11"/>
        <color theme="1"/>
        <rFont val="Calibri"/>
        <family val="2"/>
        <charset val="238"/>
        <scheme val="minor"/>
      </rPr>
      <t>• személyi</t>
    </r>
  </si>
  <si>
    <t>Karok kiadásai és a 2 campus rezsi költ-</t>
  </si>
  <si>
    <t>ségének 53%-ra nyújt fedezetet a képzési tám.</t>
  </si>
  <si>
    <t>Egyetem szintű irányítási és szolgáltatási feladatokat  ellátó szervezeti egységek (kari hozzájárulásból) a kari személyi kiadások 17,6%-a</t>
  </si>
  <si>
    <t>Költségtérítésből tervezett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</si>
</sst>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_ ;[Red]\-#,##0\ "/>
    <numFmt numFmtId="166" formatCode="#,##0.000"/>
  </numFmts>
  <fonts count="7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i/>
      <sz val="24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name val="Times New Roman CE"/>
      <charset val="238"/>
    </font>
    <font>
      <b/>
      <sz val="10"/>
      <color indexed="8"/>
      <name val="Times New Roman CE"/>
      <charset val="238"/>
    </font>
    <font>
      <b/>
      <u/>
      <sz val="10"/>
      <color indexed="8"/>
      <name val="Times New Roman CE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color indexed="8"/>
      <name val="Times New Roman CE"/>
      <charset val="238"/>
    </font>
    <font>
      <b/>
      <i/>
      <u/>
      <sz val="10"/>
      <color indexed="8"/>
      <name val="Times New Roman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13"/>
      <name val="Times New Roman CE"/>
      <charset val="238"/>
    </font>
    <font>
      <i/>
      <sz val="10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-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1" fillId="0" borderId="0"/>
    <xf numFmtId="0" fontId="8" fillId="0" borderId="0"/>
    <xf numFmtId="44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2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4" borderId="0"/>
    <xf numFmtId="0" fontId="61" fillId="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62" fillId="0" borderId="0"/>
    <xf numFmtId="0" fontId="63" fillId="0" borderId="0"/>
    <xf numFmtId="0" fontId="64" fillId="0" borderId="0"/>
    <xf numFmtId="0" fontId="2" fillId="0" borderId="0"/>
    <xf numFmtId="0" fontId="65" fillId="0" borderId="0"/>
    <xf numFmtId="0" fontId="6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6" fillId="0" borderId="0" xfId="4" applyFont="1"/>
    <xf numFmtId="3" fontId="11" fillId="0" borderId="0" xfId="18" applyNumberFormat="1" applyFont="1" applyAlignment="1">
      <alignment horizontal="center" vertical="center"/>
    </xf>
    <xf numFmtId="0" fontId="11" fillId="0" borderId="0" xfId="18" applyFont="1" applyAlignment="1">
      <alignment horizontal="center" vertical="center"/>
    </xf>
    <xf numFmtId="0" fontId="11" fillId="3" borderId="0" xfId="18" applyFont="1" applyFill="1" applyAlignment="1">
      <alignment horizontal="center" vertical="center"/>
    </xf>
    <xf numFmtId="0" fontId="5" fillId="0" borderId="0" xfId="18" applyFont="1" applyAlignment="1">
      <alignment horizontal="right" vertical="center"/>
    </xf>
    <xf numFmtId="0" fontId="6" fillId="0" borderId="4" xfId="18" applyFont="1" applyBorder="1"/>
    <xf numFmtId="3" fontId="6" fillId="3" borderId="5" xfId="18" applyNumberFormat="1" applyFont="1" applyFill="1" applyBorder="1" applyAlignment="1">
      <alignment horizontal="right"/>
    </xf>
    <xf numFmtId="3" fontId="6" fillId="3" borderId="5" xfId="18" applyNumberFormat="1" applyFont="1" applyFill="1" applyBorder="1"/>
    <xf numFmtId="3" fontId="6" fillId="0" borderId="5" xfId="18" applyNumberFormat="1" applyFont="1" applyBorder="1" applyAlignment="1">
      <alignment horizontal="right"/>
    </xf>
    <xf numFmtId="0" fontId="3" fillId="0" borderId="4" xfId="18" applyFont="1" applyFill="1" applyBorder="1" applyAlignment="1"/>
    <xf numFmtId="3" fontId="3" fillId="3" borderId="5" xfId="18" applyNumberFormat="1" applyFont="1" applyFill="1" applyBorder="1" applyAlignment="1">
      <alignment horizontal="right"/>
    </xf>
    <xf numFmtId="0" fontId="6" fillId="0" borderId="4" xfId="18" applyFont="1" applyFill="1" applyBorder="1" applyAlignment="1"/>
    <xf numFmtId="3" fontId="6" fillId="0" borderId="5" xfId="18" applyNumberFormat="1" applyFont="1" applyFill="1" applyBorder="1" applyAlignment="1">
      <alignment horizontal="right"/>
    </xf>
    <xf numFmtId="0" fontId="3" fillId="0" borderId="4" xfId="18" applyFont="1" applyBorder="1"/>
    <xf numFmtId="3" fontId="3" fillId="0" borderId="5" xfId="18" applyNumberFormat="1" applyFont="1" applyBorder="1" applyAlignment="1">
      <alignment horizontal="right"/>
    </xf>
    <xf numFmtId="3" fontId="3" fillId="3" borderId="5" xfId="18" applyNumberFormat="1" applyFont="1" applyFill="1" applyBorder="1"/>
    <xf numFmtId="0" fontId="12" fillId="0" borderId="4" xfId="18" applyFont="1" applyBorder="1" applyAlignment="1">
      <alignment wrapText="1"/>
    </xf>
    <xf numFmtId="0" fontId="3" fillId="0" borderId="4" xfId="18" applyFont="1" applyFill="1" applyBorder="1"/>
    <xf numFmtId="3" fontId="6" fillId="0" borderId="0" xfId="4" applyNumberFormat="1" applyFont="1"/>
    <xf numFmtId="0" fontId="6" fillId="3" borderId="0" xfId="4" applyFont="1" applyFill="1"/>
    <xf numFmtId="0" fontId="14" fillId="0" borderId="0" xfId="4" applyFont="1" applyBorder="1"/>
    <xf numFmtId="3" fontId="14" fillId="0" borderId="0" xfId="4" applyNumberFormat="1" applyFont="1" applyBorder="1"/>
    <xf numFmtId="0" fontId="15" fillId="0" borderId="0" xfId="4" applyFont="1" applyBorder="1" applyAlignment="1">
      <alignment horizontal="right"/>
    </xf>
    <xf numFmtId="0" fontId="3" fillId="0" borderId="0" xfId="4" applyFont="1"/>
    <xf numFmtId="0" fontId="21" fillId="3" borderId="4" xfId="7" applyFont="1" applyFill="1" applyBorder="1"/>
    <xf numFmtId="0" fontId="17" fillId="0" borderId="4" xfId="4" applyFont="1" applyBorder="1"/>
    <xf numFmtId="0" fontId="3" fillId="0" borderId="4" xfId="18" applyFont="1" applyBorder="1" applyAlignment="1">
      <alignment wrapText="1" shrinkToFit="1"/>
    </xf>
    <xf numFmtId="0" fontId="3" fillId="0" borderId="4" xfId="18" applyFont="1" applyBorder="1" applyAlignment="1">
      <alignment wrapText="1"/>
    </xf>
    <xf numFmtId="0" fontId="6" fillId="0" borderId="4" xfId="4" applyFont="1" applyBorder="1"/>
    <xf numFmtId="0" fontId="17" fillId="0" borderId="4" xfId="4" applyFont="1" applyFill="1" applyBorder="1"/>
    <xf numFmtId="0" fontId="15" fillId="0" borderId="7" xfId="4" applyFont="1" applyFill="1" applyBorder="1"/>
    <xf numFmtId="0" fontId="22" fillId="0" borderId="0" xfId="19" applyFont="1"/>
    <xf numFmtId="0" fontId="23" fillId="0" borderId="0" xfId="19" applyFont="1"/>
    <xf numFmtId="0" fontId="24" fillId="0" borderId="0" xfId="19" applyFont="1" applyAlignment="1">
      <alignment horizontal="center" vertical="center" wrapText="1"/>
    </xf>
    <xf numFmtId="0" fontId="2" fillId="0" borderId="0" xfId="1"/>
    <xf numFmtId="0" fontId="5" fillId="0" borderId="0" xfId="1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19" applyFont="1" applyAlignment="1">
      <alignment horizontal="center" wrapText="1"/>
    </xf>
    <xf numFmtId="0" fontId="5" fillId="0" borderId="0" xfId="19" applyFont="1" applyAlignment="1">
      <alignment horizontal="right" wrapText="1"/>
    </xf>
    <xf numFmtId="0" fontId="6" fillId="0" borderId="0" xfId="1" applyFont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9" applyFont="1" applyAlignment="1">
      <alignment horizontal="center" wrapText="1"/>
    </xf>
    <xf numFmtId="0" fontId="6" fillId="0" borderId="0" xfId="19" applyFont="1"/>
    <xf numFmtId="0" fontId="6" fillId="0" borderId="0" xfId="19" applyFont="1" applyAlignment="1"/>
    <xf numFmtId="0" fontId="3" fillId="0" borderId="0" xfId="19" applyFont="1"/>
    <xf numFmtId="164" fontId="2" fillId="0" borderId="0" xfId="1" applyNumberFormat="1"/>
    <xf numFmtId="3" fontId="2" fillId="0" borderId="0" xfId="1" applyNumberFormat="1"/>
    <xf numFmtId="0" fontId="3" fillId="2" borderId="5" xfId="19" applyFont="1" applyFill="1" applyBorder="1" applyAlignment="1">
      <alignment horizontal="center" vertical="center" wrapText="1"/>
    </xf>
    <xf numFmtId="3" fontId="6" fillId="0" borderId="5" xfId="19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3" fontId="6" fillId="0" borderId="5" xfId="19" applyNumberFormat="1" applyFont="1" applyBorder="1" applyAlignment="1">
      <alignment horizontal="right" wrapText="1"/>
    </xf>
    <xf numFmtId="4" fontId="4" fillId="0" borderId="0" xfId="19" applyNumberFormat="1" applyFont="1" applyAlignment="1">
      <alignment horizont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wrapText="1"/>
    </xf>
    <xf numFmtId="0" fontId="3" fillId="0" borderId="5" xfId="19" applyFont="1" applyFill="1" applyBorder="1" applyAlignment="1">
      <alignment horizontal="center" wrapText="1"/>
    </xf>
    <xf numFmtId="3" fontId="3" fillId="0" borderId="5" xfId="9" applyNumberFormat="1" applyFont="1" applyFill="1" applyBorder="1" applyAlignment="1">
      <alignment horizontal="center" wrapText="1"/>
    </xf>
    <xf numFmtId="3" fontId="3" fillId="0" borderId="6" xfId="9" applyNumberFormat="1" applyFont="1" applyFill="1" applyBorder="1" applyAlignment="1">
      <alignment horizontal="center" wrapText="1"/>
    </xf>
    <xf numFmtId="0" fontId="3" fillId="0" borderId="5" xfId="9" applyFont="1" applyFill="1" applyBorder="1" applyAlignment="1">
      <alignment horizontal="center"/>
    </xf>
    <xf numFmtId="3" fontId="3" fillId="0" borderId="5" xfId="9" applyNumberFormat="1" applyFont="1" applyFill="1" applyBorder="1" applyAlignment="1">
      <alignment horizontal="center"/>
    </xf>
    <xf numFmtId="0" fontId="3" fillId="0" borderId="6" xfId="19" applyFont="1" applyFill="1" applyBorder="1" applyAlignment="1">
      <alignment horizontal="center" wrapText="1"/>
    </xf>
    <xf numFmtId="164" fontId="3" fillId="0" borderId="8" xfId="19" applyNumberFormat="1" applyFont="1" applyFill="1" applyBorder="1" applyAlignment="1"/>
    <xf numFmtId="3" fontId="3" fillId="0" borderId="8" xfId="19" applyNumberFormat="1" applyFont="1" applyFill="1" applyBorder="1" applyAlignment="1"/>
    <xf numFmtId="164" fontId="3" fillId="0" borderId="8" xfId="19" applyNumberFormat="1" applyFont="1" applyBorder="1" applyAlignment="1">
      <alignment wrapText="1"/>
    </xf>
    <xf numFmtId="3" fontId="3" fillId="0" borderId="8" xfId="19" applyNumberFormat="1" applyFont="1" applyBorder="1" applyAlignment="1"/>
    <xf numFmtId="0" fontId="26" fillId="0" borderId="0" xfId="0" applyFont="1" applyAlignment="1"/>
    <xf numFmtId="3" fontId="3" fillId="0" borderId="9" xfId="19" applyNumberFormat="1" applyFont="1" applyBorder="1" applyAlignment="1">
      <alignment wrapText="1"/>
    </xf>
    <xf numFmtId="0" fontId="6" fillId="0" borderId="0" xfId="4" applyFont="1" applyFill="1"/>
    <xf numFmtId="0" fontId="6" fillId="3" borderId="4" xfId="4" applyFont="1" applyFill="1" applyBorder="1" applyAlignment="1">
      <alignment wrapText="1"/>
    </xf>
    <xf numFmtId="0" fontId="21" fillId="3" borderId="0" xfId="7" applyFont="1" applyFill="1" applyBorder="1"/>
    <xf numFmtId="0" fontId="6" fillId="3" borderId="0" xfId="4" applyFont="1" applyFill="1" applyBorder="1" applyAlignment="1">
      <alignment wrapText="1"/>
    </xf>
    <xf numFmtId="0" fontId="6" fillId="0" borderId="0" xfId="4" applyFont="1" applyBorder="1"/>
    <xf numFmtId="0" fontId="29" fillId="0" borderId="0" xfId="1" applyFont="1"/>
    <xf numFmtId="3" fontId="3" fillId="0" borderId="8" xfId="19" applyNumberFormat="1" applyFont="1" applyBorder="1" applyAlignment="1">
      <alignment wrapText="1"/>
    </xf>
    <xf numFmtId="164" fontId="3" fillId="0" borderId="8" xfId="19" applyNumberFormat="1" applyFont="1" applyBorder="1" applyAlignment="1"/>
    <xf numFmtId="164" fontId="6" fillId="3" borderId="5" xfId="19" applyNumberFormat="1" applyFont="1" applyFill="1" applyBorder="1" applyAlignment="1">
      <alignment horizontal="right" vertical="center" wrapText="1"/>
    </xf>
    <xf numFmtId="3" fontId="6" fillId="3" borderId="5" xfId="19" applyNumberFormat="1" applyFont="1" applyFill="1" applyBorder="1" applyAlignment="1">
      <alignment horizontal="right" vertical="center" wrapText="1"/>
    </xf>
    <xf numFmtId="3" fontId="6" fillId="3" borderId="6" xfId="19" applyNumberFormat="1" applyFont="1" applyFill="1" applyBorder="1" applyAlignment="1">
      <alignment horizontal="right" vertical="center" wrapText="1"/>
    </xf>
    <xf numFmtId="0" fontId="0" fillId="3" borderId="0" xfId="0" applyFill="1"/>
    <xf numFmtId="164" fontId="6" fillId="3" borderId="5" xfId="19" applyNumberFormat="1" applyFont="1" applyFill="1" applyBorder="1" applyAlignment="1">
      <alignment horizontal="right"/>
    </xf>
    <xf numFmtId="3" fontId="6" fillId="3" borderId="5" xfId="19" applyNumberFormat="1" applyFont="1" applyFill="1" applyBorder="1" applyAlignment="1">
      <alignment horizontal="right"/>
    </xf>
    <xf numFmtId="3" fontId="3" fillId="0" borderId="8" xfId="19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17" fillId="3" borderId="0" xfId="4" applyNumberFormat="1" applyFont="1" applyFill="1" applyBorder="1"/>
    <xf numFmtId="3" fontId="6" fillId="3" borderId="0" xfId="4" applyNumberFormat="1" applyFont="1" applyFill="1"/>
    <xf numFmtId="3" fontId="3" fillId="3" borderId="6" xfId="18" applyNumberFormat="1" applyFont="1" applyFill="1" applyBorder="1" applyAlignment="1">
      <alignment horizontal="right"/>
    </xf>
    <xf numFmtId="0" fontId="17" fillId="0" borderId="4" xfId="4" applyFont="1" applyBorder="1" applyAlignment="1">
      <alignment wrapText="1"/>
    </xf>
    <xf numFmtId="0" fontId="6" fillId="0" borderId="4" xfId="4" applyFont="1" applyFill="1" applyBorder="1" applyAlignment="1">
      <alignment wrapText="1"/>
    </xf>
    <xf numFmtId="3" fontId="6" fillId="0" borderId="6" xfId="1" applyNumberFormat="1" applyFont="1" applyBorder="1"/>
    <xf numFmtId="3" fontId="6" fillId="0" borderId="5" xfId="19" applyNumberFormat="1" applyFont="1" applyBorder="1" applyAlignment="1">
      <alignment wrapText="1"/>
    </xf>
    <xf numFmtId="3" fontId="3" fillId="0" borderId="8" xfId="19" applyNumberFormat="1" applyFont="1" applyBorder="1" applyAlignment="1">
      <alignment horizontal="right" wrapText="1"/>
    </xf>
    <xf numFmtId="4" fontId="2" fillId="0" borderId="0" xfId="1" applyNumberFormat="1"/>
    <xf numFmtId="3" fontId="3" fillId="0" borderId="9" xfId="19" applyNumberFormat="1" applyFont="1" applyBorder="1"/>
    <xf numFmtId="3" fontId="32" fillId="0" borderId="0" xfId="17" applyNumberFormat="1" applyFont="1" applyFill="1" applyBorder="1" applyAlignment="1"/>
    <xf numFmtId="0" fontId="10" fillId="0" borderId="0" xfId="17" applyFont="1" applyFill="1" applyBorder="1" applyAlignment="1">
      <alignment wrapText="1"/>
    </xf>
    <xf numFmtId="0" fontId="32" fillId="0" borderId="0" xfId="17" applyFont="1" applyFill="1" applyBorder="1" applyAlignment="1">
      <alignment vertical="center"/>
    </xf>
    <xf numFmtId="165" fontId="37" fillId="0" borderId="0" xfId="17" applyNumberFormat="1" applyFont="1" applyFill="1" applyBorder="1" applyAlignment="1">
      <alignment vertical="center"/>
    </xf>
    <xf numFmtId="165" fontId="38" fillId="0" borderId="0" xfId="17" applyNumberFormat="1" applyFont="1" applyFill="1" applyBorder="1" applyAlignment="1">
      <alignment vertical="center"/>
    </xf>
    <xf numFmtId="0" fontId="38" fillId="0" borderId="0" xfId="17" applyFont="1" applyFill="1" applyBorder="1" applyAlignment="1">
      <alignment vertical="center"/>
    </xf>
    <xf numFmtId="0" fontId="35" fillId="0" borderId="0" xfId="17" applyFont="1" applyFill="1" applyBorder="1" applyAlignment="1">
      <alignment vertical="center"/>
    </xf>
    <xf numFmtId="0" fontId="10" fillId="0" borderId="0" xfId="17" applyFont="1" applyFill="1" applyBorder="1" applyAlignment="1">
      <alignment vertical="center"/>
    </xf>
    <xf numFmtId="0" fontId="10" fillId="0" borderId="0" xfId="17" applyFill="1" applyBorder="1" applyAlignment="1">
      <alignment vertical="center"/>
    </xf>
    <xf numFmtId="0" fontId="32" fillId="0" borderId="0" xfId="17" applyFont="1" applyFill="1" applyBorder="1" applyAlignment="1">
      <alignment horizontal="center" vertical="center"/>
    </xf>
    <xf numFmtId="0" fontId="33" fillId="0" borderId="0" xfId="17" applyFont="1" applyFill="1" applyBorder="1" applyAlignment="1">
      <alignment vertical="center"/>
    </xf>
    <xf numFmtId="0" fontId="10" fillId="0" borderId="0" xfId="17" applyFill="1" applyBorder="1" applyAlignment="1">
      <alignment horizontal="center" vertical="center"/>
    </xf>
    <xf numFmtId="0" fontId="10" fillId="0" borderId="0" xfId="17" applyFill="1" applyBorder="1" applyAlignment="1">
      <alignment horizontal="center"/>
    </xf>
    <xf numFmtId="0" fontId="32" fillId="0" borderId="0" xfId="17" applyFont="1" applyFill="1" applyBorder="1"/>
    <xf numFmtId="0" fontId="10" fillId="0" borderId="0" xfId="17" applyFill="1" applyBorder="1"/>
    <xf numFmtId="49" fontId="45" fillId="0" borderId="0" xfId="20" applyNumberFormat="1" applyFont="1" applyFill="1" applyBorder="1" applyAlignment="1">
      <alignment horizontal="center"/>
    </xf>
    <xf numFmtId="49" fontId="10" fillId="0" borderId="0" xfId="17" applyNumberFormat="1" applyBorder="1"/>
    <xf numFmtId="3" fontId="10" fillId="0" borderId="0" xfId="17" applyNumberFormat="1" applyBorder="1"/>
    <xf numFmtId="3" fontId="10" fillId="0" borderId="0" xfId="17" applyNumberFormat="1" applyFont="1" applyBorder="1"/>
    <xf numFmtId="0" fontId="10" fillId="0" borderId="0" xfId="17" applyBorder="1" applyAlignment="1">
      <alignment wrapText="1"/>
    </xf>
    <xf numFmtId="0" fontId="10" fillId="0" borderId="0" xfId="17" applyBorder="1"/>
    <xf numFmtId="0" fontId="10" fillId="0" borderId="0" xfId="17" applyFont="1" applyBorder="1"/>
    <xf numFmtId="3" fontId="42" fillId="3" borderId="5" xfId="17" applyNumberFormat="1" applyFont="1" applyFill="1" applyBorder="1" applyAlignment="1">
      <alignment horizontal="right" vertical="center" wrapText="1"/>
    </xf>
    <xf numFmtId="3" fontId="43" fillId="3" borderId="5" xfId="17" applyNumberFormat="1" applyFont="1" applyFill="1" applyBorder="1" applyAlignment="1">
      <alignment horizontal="right" vertical="center" wrapText="1"/>
    </xf>
    <xf numFmtId="3" fontId="41" fillId="3" borderId="5" xfId="17" applyNumberFormat="1" applyFont="1" applyFill="1" applyBorder="1" applyAlignment="1">
      <alignment horizontal="right" vertical="center" wrapText="1"/>
    </xf>
    <xf numFmtId="165" fontId="41" fillId="3" borderId="5" xfId="17" applyNumberFormat="1" applyFont="1" applyFill="1" applyBorder="1" applyAlignment="1">
      <alignment horizontal="right" vertical="center" wrapText="1"/>
    </xf>
    <xf numFmtId="3" fontId="35" fillId="3" borderId="5" xfId="17" applyNumberFormat="1" applyFont="1" applyFill="1" applyBorder="1" applyAlignment="1">
      <alignment horizontal="right" vertical="center" wrapText="1"/>
    </xf>
    <xf numFmtId="3" fontId="32" fillId="3" borderId="5" xfId="17" applyNumberFormat="1" applyFont="1" applyFill="1" applyBorder="1" applyAlignment="1">
      <alignment horizontal="right" vertical="center" wrapText="1"/>
    </xf>
    <xf numFmtId="3" fontId="36" fillId="3" borderId="5" xfId="17" applyNumberFormat="1" applyFont="1" applyFill="1" applyBorder="1" applyAlignment="1">
      <alignment horizontal="right" vertical="center" wrapText="1"/>
    </xf>
    <xf numFmtId="3" fontId="33" fillId="3" borderId="5" xfId="17" applyNumberFormat="1" applyFont="1" applyFill="1" applyBorder="1" applyAlignment="1">
      <alignment horizontal="right" vertical="center" wrapText="1"/>
    </xf>
    <xf numFmtId="3" fontId="39" fillId="3" borderId="5" xfId="17" applyNumberFormat="1" applyFont="1" applyFill="1" applyBorder="1" applyAlignment="1">
      <alignment horizontal="right" vertical="center" wrapText="1"/>
    </xf>
    <xf numFmtId="3" fontId="10" fillId="3" borderId="5" xfId="17" applyNumberFormat="1" applyFont="1" applyFill="1" applyBorder="1" applyAlignment="1">
      <alignment horizontal="right" vertical="center" wrapText="1"/>
    </xf>
    <xf numFmtId="3" fontId="10" fillId="3" borderId="5" xfId="17" applyNumberFormat="1" applyFill="1" applyBorder="1" applyAlignment="1">
      <alignment horizontal="right" vertical="center" wrapText="1"/>
    </xf>
    <xf numFmtId="3" fontId="10" fillId="3" borderId="5" xfId="17" applyNumberFormat="1" applyFill="1" applyBorder="1" applyAlignment="1">
      <alignment vertical="center"/>
    </xf>
    <xf numFmtId="3" fontId="38" fillId="3" borderId="5" xfId="17" applyNumberFormat="1" applyFont="1" applyFill="1" applyBorder="1" applyAlignment="1">
      <alignment horizontal="right" vertical="center" wrapText="1"/>
    </xf>
    <xf numFmtId="165" fontId="10" fillId="3" borderId="5" xfId="17" applyNumberFormat="1" applyFont="1" applyFill="1" applyBorder="1" applyAlignment="1">
      <alignment horizontal="right" vertical="center" wrapText="1"/>
    </xf>
    <xf numFmtId="165" fontId="33" fillId="3" borderId="5" xfId="17" applyNumberFormat="1" applyFont="1" applyFill="1" applyBorder="1" applyAlignment="1">
      <alignment horizontal="right" vertical="center" wrapText="1"/>
    </xf>
    <xf numFmtId="165" fontId="32" fillId="3" borderId="5" xfId="17" applyNumberFormat="1" applyFont="1" applyFill="1" applyBorder="1" applyAlignment="1">
      <alignment horizontal="right" vertical="center" wrapText="1"/>
    </xf>
    <xf numFmtId="0" fontId="17" fillId="3" borderId="4" xfId="4" applyFont="1" applyFill="1" applyBorder="1"/>
    <xf numFmtId="0" fontId="6" fillId="3" borderId="4" xfId="4" applyFont="1" applyFill="1" applyBorder="1"/>
    <xf numFmtId="0" fontId="2" fillId="0" borderId="0" xfId="4"/>
    <xf numFmtId="0" fontId="4" fillId="0" borderId="0" xfId="18" applyFont="1" applyAlignment="1">
      <alignment horizontal="center"/>
    </xf>
    <xf numFmtId="0" fontId="4" fillId="0" borderId="0" xfId="18" applyFont="1" applyFill="1" applyAlignment="1">
      <alignment horizontal="center"/>
    </xf>
    <xf numFmtId="0" fontId="12" fillId="0" borderId="4" xfId="18" applyFont="1" applyBorder="1" applyAlignment="1"/>
    <xf numFmtId="3" fontId="48" fillId="0" borderId="5" xfId="18" applyNumberFormat="1" applyFont="1" applyBorder="1" applyAlignment="1"/>
    <xf numFmtId="3" fontId="48" fillId="0" borderId="5" xfId="18" applyNumberFormat="1" applyFont="1" applyFill="1" applyBorder="1" applyAlignment="1"/>
    <xf numFmtId="3" fontId="48" fillId="0" borderId="6" xfId="18" applyNumberFormat="1" applyFont="1" applyBorder="1" applyAlignment="1"/>
    <xf numFmtId="0" fontId="49" fillId="0" borderId="0" xfId="4" applyFont="1"/>
    <xf numFmtId="0" fontId="50" fillId="0" borderId="4" xfId="18" applyFont="1" applyBorder="1" applyAlignment="1"/>
    <xf numFmtId="3" fontId="50" fillId="0" borderId="5" xfId="18" applyNumberFormat="1" applyFont="1" applyBorder="1" applyAlignment="1"/>
    <xf numFmtId="3" fontId="50" fillId="0" borderId="5" xfId="18" applyNumberFormat="1" applyFont="1" applyFill="1" applyBorder="1" applyAlignment="1"/>
    <xf numFmtId="3" fontId="50" fillId="0" borderId="6" xfId="18" applyNumberFormat="1" applyFont="1" applyBorder="1" applyAlignment="1"/>
    <xf numFmtId="3" fontId="2" fillId="0" borderId="0" xfId="4" applyNumberFormat="1"/>
    <xf numFmtId="3" fontId="12" fillId="0" borderId="5" xfId="18" applyNumberFormat="1" applyFont="1" applyBorder="1" applyAlignment="1"/>
    <xf numFmtId="3" fontId="12" fillId="0" borderId="5" xfId="18" applyNumberFormat="1" applyFont="1" applyFill="1" applyBorder="1" applyAlignment="1"/>
    <xf numFmtId="3" fontId="12" fillId="0" borderId="6" xfId="18" applyNumberFormat="1" applyFont="1" applyBorder="1" applyAlignment="1"/>
    <xf numFmtId="0" fontId="12" fillId="0" borderId="4" xfId="18" applyFont="1" applyFill="1" applyBorder="1" applyAlignment="1"/>
    <xf numFmtId="0" fontId="48" fillId="0" borderId="5" xfId="18" applyFont="1" applyFill="1" applyBorder="1" applyAlignment="1"/>
    <xf numFmtId="0" fontId="48" fillId="0" borderId="6" xfId="18" applyFont="1" applyFill="1" applyBorder="1" applyAlignment="1"/>
    <xf numFmtId="0" fontId="49" fillId="0" borderId="0" xfId="4" applyFont="1" applyFill="1"/>
    <xf numFmtId="0" fontId="50" fillId="0" borderId="4" xfId="18" applyFont="1" applyFill="1" applyBorder="1" applyAlignment="1"/>
    <xf numFmtId="3" fontId="50" fillId="0" borderId="6" xfId="18" applyNumberFormat="1" applyFont="1" applyFill="1" applyBorder="1" applyAlignment="1"/>
    <xf numFmtId="3" fontId="2" fillId="0" borderId="0" xfId="4" applyNumberFormat="1" applyFill="1"/>
    <xf numFmtId="0" fontId="2" fillId="0" borderId="0" xfId="4" applyFill="1"/>
    <xf numFmtId="3" fontId="12" fillId="0" borderId="4" xfId="18" applyNumberFormat="1" applyFont="1" applyFill="1" applyBorder="1" applyAlignment="1"/>
    <xf numFmtId="3" fontId="12" fillId="0" borderId="6" xfId="18" applyNumberFormat="1" applyFont="1" applyFill="1" applyBorder="1" applyAlignment="1"/>
    <xf numFmtId="3" fontId="12" fillId="0" borderId="4" xfId="18" applyNumberFormat="1" applyFont="1" applyBorder="1" applyAlignment="1"/>
    <xf numFmtId="0" fontId="49" fillId="0" borderId="5" xfId="4" applyFont="1" applyBorder="1"/>
    <xf numFmtId="0" fontId="51" fillId="0" borderId="4" xfId="18" applyFont="1" applyBorder="1" applyAlignment="1"/>
    <xf numFmtId="3" fontId="51" fillId="0" borderId="5" xfId="18" applyNumberFormat="1" applyFont="1" applyBorder="1" applyAlignment="1"/>
    <xf numFmtId="3" fontId="51" fillId="0" borderId="5" xfId="18" applyNumberFormat="1" applyFont="1" applyFill="1" applyBorder="1" applyAlignment="1"/>
    <xf numFmtId="3" fontId="51" fillId="0" borderId="6" xfId="18" applyNumberFormat="1" applyFont="1" applyBorder="1" applyAlignment="1"/>
    <xf numFmtId="3" fontId="48" fillId="0" borderId="6" xfId="18" applyNumberFormat="1" applyFont="1" applyFill="1" applyBorder="1" applyAlignment="1"/>
    <xf numFmtId="0" fontId="12" fillId="0" borderId="7" xfId="18" applyFont="1" applyFill="1" applyBorder="1" applyAlignment="1">
      <alignment vertical="center" wrapText="1"/>
    </xf>
    <xf numFmtId="3" fontId="3" fillId="0" borderId="8" xfId="18" applyNumberFormat="1" applyFont="1" applyFill="1" applyBorder="1" applyAlignment="1">
      <alignment vertical="center"/>
    </xf>
    <xf numFmtId="3" fontId="3" fillId="0" borderId="9" xfId="18" applyNumberFormat="1" applyFont="1" applyFill="1" applyBorder="1" applyAlignment="1">
      <alignment vertical="center"/>
    </xf>
    <xf numFmtId="0" fontId="52" fillId="0" borderId="0" xfId="4" applyFont="1"/>
    <xf numFmtId="3" fontId="52" fillId="0" borderId="0" xfId="4" applyNumberFormat="1" applyFont="1"/>
    <xf numFmtId="3" fontId="52" fillId="0" borderId="0" xfId="4" applyNumberFormat="1" applyFont="1" applyFill="1"/>
    <xf numFmtId="3" fontId="6" fillId="0" borderId="5" xfId="1" applyNumberFormat="1" applyFont="1" applyBorder="1"/>
    <xf numFmtId="0" fontId="15" fillId="0" borderId="4" xfId="4" applyFont="1" applyBorder="1" applyAlignment="1">
      <alignment wrapText="1"/>
    </xf>
    <xf numFmtId="3" fontId="17" fillId="3" borderId="5" xfId="4" applyNumberFormat="1" applyFont="1" applyFill="1" applyBorder="1" applyAlignment="1">
      <alignment horizontal="right"/>
    </xf>
    <xf numFmtId="3" fontId="17" fillId="0" borderId="5" xfId="4" applyNumberFormat="1" applyFont="1" applyBorder="1" applyAlignment="1">
      <alignment horizontal="right"/>
    </xf>
    <xf numFmtId="3" fontId="17" fillId="0" borderId="5" xfId="4" applyNumberFormat="1" applyFont="1" applyFill="1" applyBorder="1" applyAlignment="1">
      <alignment horizontal="right"/>
    </xf>
    <xf numFmtId="3" fontId="6" fillId="3" borderId="5" xfId="4" applyNumberFormat="1" applyFont="1" applyFill="1" applyBorder="1" applyAlignment="1">
      <alignment horizontal="right"/>
    </xf>
    <xf numFmtId="3" fontId="21" fillId="0" borderId="5" xfId="7" applyNumberFormat="1" applyFont="1" applyBorder="1" applyAlignment="1">
      <alignment horizontal="right" wrapText="1"/>
    </xf>
    <xf numFmtId="3" fontId="17" fillId="0" borderId="5" xfId="4" applyNumberFormat="1" applyFont="1" applyBorder="1" applyAlignment="1">
      <alignment horizontal="right" wrapText="1"/>
    </xf>
    <xf numFmtId="3" fontId="19" fillId="0" borderId="5" xfId="4" applyNumberFormat="1" applyFont="1" applyBorder="1" applyAlignment="1">
      <alignment horizontal="right" wrapText="1"/>
    </xf>
    <xf numFmtId="0" fontId="24" fillId="0" borderId="0" xfId="4" applyFont="1"/>
    <xf numFmtId="3" fontId="9" fillId="0" borderId="5" xfId="7" applyNumberFormat="1" applyFont="1" applyBorder="1" applyAlignment="1">
      <alignment horizontal="right" vertical="center" wrapText="1"/>
    </xf>
    <xf numFmtId="0" fontId="15" fillId="0" borderId="4" xfId="4" applyFont="1" applyFill="1" applyBorder="1" applyAlignment="1">
      <alignment vertical="center" wrapText="1"/>
    </xf>
    <xf numFmtId="3" fontId="15" fillId="0" borderId="5" xfId="4" applyNumberFormat="1" applyFont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3" fontId="15" fillId="0" borderId="8" xfId="4" applyNumberFormat="1" applyFont="1" applyFill="1" applyBorder="1" applyAlignment="1">
      <alignment horizontal="right"/>
    </xf>
    <xf numFmtId="3" fontId="21" fillId="3" borderId="5" xfId="7" applyNumberFormat="1" applyFont="1" applyFill="1" applyBorder="1" applyAlignment="1">
      <alignment horizontal="right" wrapText="1"/>
    </xf>
    <xf numFmtId="0" fontId="25" fillId="0" borderId="0" xfId="0" applyFont="1"/>
    <xf numFmtId="3" fontId="55" fillId="0" borderId="5" xfId="4" applyNumberFormat="1" applyFont="1" applyBorder="1" applyAlignment="1">
      <alignment horizontal="right"/>
    </xf>
    <xf numFmtId="166" fontId="2" fillId="0" borderId="0" xfId="1" applyNumberFormat="1"/>
    <xf numFmtId="3" fontId="6" fillId="0" borderId="5" xfId="7" applyNumberFormat="1" applyFont="1" applyBorder="1" applyAlignment="1">
      <alignment horizontal="right" wrapText="1"/>
    </xf>
    <xf numFmtId="0" fontId="57" fillId="0" borderId="0" xfId="4" applyFont="1" applyBorder="1"/>
    <xf numFmtId="3" fontId="29" fillId="0" borderId="0" xfId="1" applyNumberFormat="1" applyFont="1"/>
    <xf numFmtId="9" fontId="9" fillId="0" borderId="5" xfId="0" applyNumberFormat="1" applyFont="1" applyBorder="1" applyAlignment="1">
      <alignment horizontal="center" vertical="center" wrapText="1"/>
    </xf>
    <xf numFmtId="3" fontId="3" fillId="3" borderId="8" xfId="19" applyNumberFormat="1" applyFont="1" applyFill="1" applyBorder="1" applyAlignment="1"/>
    <xf numFmtId="0" fontId="6" fillId="0" borderId="0" xfId="4" applyFont="1" applyAlignment="1">
      <alignment horizontal="center"/>
    </xf>
    <xf numFmtId="9" fontId="6" fillId="0" borderId="0" xfId="4" applyNumberFormat="1" applyFont="1"/>
    <xf numFmtId="3" fontId="23" fillId="3" borderId="5" xfId="18" applyNumberFormat="1" applyFont="1" applyFill="1" applyBorder="1" applyAlignment="1">
      <alignment horizontal="right"/>
    </xf>
    <xf numFmtId="3" fontId="23" fillId="3" borderId="5" xfId="18" applyNumberFormat="1" applyFont="1" applyFill="1" applyBorder="1"/>
    <xf numFmtId="3" fontId="23" fillId="3" borderId="5" xfId="18" applyNumberFormat="1" applyFont="1" applyFill="1" applyBorder="1" applyAlignment="1">
      <alignment horizontal="right" wrapText="1"/>
    </xf>
    <xf numFmtId="0" fontId="0" fillId="0" borderId="0" xfId="0" applyFont="1"/>
    <xf numFmtId="3" fontId="23" fillId="0" borderId="5" xfId="18" applyNumberFormat="1" applyFont="1" applyFill="1" applyBorder="1" applyAlignment="1">
      <alignment horizontal="right"/>
    </xf>
    <xf numFmtId="3" fontId="23" fillId="0" borderId="6" xfId="18" applyNumberFormat="1" applyFont="1" applyFill="1" applyBorder="1" applyAlignment="1">
      <alignment horizontal="right"/>
    </xf>
    <xf numFmtId="0" fontId="26" fillId="0" borderId="0" xfId="0" applyFont="1"/>
    <xf numFmtId="3" fontId="3" fillId="0" borderId="6" xfId="18" applyNumberFormat="1" applyFont="1" applyBorder="1" applyAlignment="1">
      <alignment horizontal="right"/>
    </xf>
    <xf numFmtId="3" fontId="66" fillId="0" borderId="5" xfId="0" applyNumberFormat="1" applyFont="1" applyBorder="1"/>
    <xf numFmtId="3" fontId="66" fillId="0" borderId="6" xfId="0" applyNumberFormat="1" applyFont="1" applyBorder="1"/>
    <xf numFmtId="0" fontId="23" fillId="0" borderId="4" xfId="18" applyFont="1" applyBorder="1"/>
    <xf numFmtId="0" fontId="23" fillId="0" borderId="4" xfId="18" applyFont="1" applyBorder="1" applyAlignment="1">
      <alignment wrapText="1"/>
    </xf>
    <xf numFmtId="0" fontId="66" fillId="0" borderId="4" xfId="0" applyFont="1" applyBorder="1"/>
    <xf numFmtId="0" fontId="23" fillId="0" borderId="4" xfId="18" applyFont="1" applyBorder="1" applyAlignment="1"/>
    <xf numFmtId="0" fontId="23" fillId="0" borderId="4" xfId="18" applyFont="1" applyFill="1" applyBorder="1" applyAlignment="1"/>
    <xf numFmtId="0" fontId="3" fillId="0" borderId="4" xfId="18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wrapText="1"/>
    </xf>
    <xf numFmtId="0" fontId="53" fillId="0" borderId="0" xfId="0" applyFont="1"/>
    <xf numFmtId="3" fontId="9" fillId="0" borderId="5" xfId="0" applyNumberFormat="1" applyFont="1" applyBorder="1"/>
    <xf numFmtId="3" fontId="9" fillId="0" borderId="6" xfId="0" applyNumberFormat="1" applyFont="1" applyBorder="1"/>
    <xf numFmtId="0" fontId="67" fillId="0" borderId="0" xfId="0" applyFont="1"/>
    <xf numFmtId="0" fontId="9" fillId="0" borderId="4" xfId="0" applyFont="1" applyBorder="1"/>
    <xf numFmtId="0" fontId="0" fillId="0" borderId="4" xfId="0" applyBorder="1"/>
    <xf numFmtId="0" fontId="27" fillId="0" borderId="0" xfId="9" applyFont="1" applyAlignment="1">
      <alignment horizontal="center"/>
    </xf>
    <xf numFmtId="0" fontId="4" fillId="0" borderId="0" xfId="18" applyFont="1" applyAlignment="1">
      <alignment horizontal="center"/>
    </xf>
    <xf numFmtId="3" fontId="6" fillId="3" borderId="5" xfId="1" applyNumberFormat="1" applyFont="1" applyFill="1" applyBorder="1" applyAlignment="1">
      <alignment horizontal="right"/>
    </xf>
    <xf numFmtId="3" fontId="50" fillId="3" borderId="5" xfId="18" applyNumberFormat="1" applyFont="1" applyFill="1" applyBorder="1" applyAlignment="1">
      <alignment horizontal="right"/>
    </xf>
    <xf numFmtId="3" fontId="50" fillId="0" borderId="5" xfId="18" applyNumberFormat="1" applyFont="1" applyBorder="1" applyAlignment="1">
      <alignment horizontal="right"/>
    </xf>
    <xf numFmtId="3" fontId="3" fillId="0" borderId="5" xfId="18" applyNumberFormat="1" applyFont="1" applyBorder="1" applyAlignment="1">
      <alignment horizontal="right" wrapText="1"/>
    </xf>
    <xf numFmtId="3" fontId="3" fillId="3" borderId="5" xfId="18" applyNumberFormat="1" applyFont="1" applyFill="1" applyBorder="1" applyAlignment="1">
      <alignment horizontal="right" wrapText="1"/>
    </xf>
    <xf numFmtId="3" fontId="3" fillId="0" borderId="5" xfId="18" applyNumberFormat="1" applyFont="1" applyFill="1" applyBorder="1" applyAlignment="1">
      <alignment horizontal="right"/>
    </xf>
    <xf numFmtId="3" fontId="6" fillId="3" borderId="6" xfId="18" applyNumberFormat="1" applyFont="1" applyFill="1" applyBorder="1" applyAlignment="1">
      <alignment horizontal="right"/>
    </xf>
    <xf numFmtId="0" fontId="6" fillId="0" borderId="4" xfId="18" applyFont="1" applyBorder="1" applyAlignment="1">
      <alignment wrapText="1"/>
    </xf>
    <xf numFmtId="0" fontId="3" fillId="0" borderId="7" xfId="18" applyFont="1" applyFill="1" applyBorder="1"/>
    <xf numFmtId="3" fontId="17" fillId="3" borderId="5" xfId="4" applyNumberFormat="1" applyFont="1" applyFill="1" applyBorder="1" applyAlignment="1">
      <alignment horizontal="right" wrapText="1"/>
    </xf>
    <xf numFmtId="0" fontId="2" fillId="0" borderId="0" xfId="4" applyFont="1"/>
    <xf numFmtId="0" fontId="23" fillId="0" borderId="5" xfId="4" applyFont="1" applyBorder="1"/>
    <xf numFmtId="0" fontId="68" fillId="0" borderId="4" xfId="4" applyFont="1" applyBorder="1"/>
    <xf numFmtId="0" fontId="66" fillId="3" borderId="4" xfId="7" applyFont="1" applyFill="1" applyBorder="1"/>
    <xf numFmtId="3" fontId="68" fillId="0" borderId="5" xfId="4" applyNumberFormat="1" applyFont="1" applyBorder="1" applyAlignment="1">
      <alignment horizontal="right"/>
    </xf>
    <xf numFmtId="3" fontId="68" fillId="3" borderId="5" xfId="4" applyNumberFormat="1" applyFont="1" applyFill="1" applyBorder="1" applyAlignment="1">
      <alignment horizontal="right"/>
    </xf>
    <xf numFmtId="3" fontId="23" fillId="0" borderId="5" xfId="7" applyNumberFormat="1" applyFont="1" applyBorder="1" applyAlignment="1">
      <alignment horizontal="right" wrapText="1"/>
    </xf>
    <xf numFmtId="0" fontId="23" fillId="0" borderId="0" xfId="4" applyFont="1"/>
    <xf numFmtId="3" fontId="66" fillId="0" borderId="5" xfId="7" applyNumberFormat="1" applyFont="1" applyBorder="1" applyAlignment="1">
      <alignment horizontal="right" wrapText="1"/>
    </xf>
    <xf numFmtId="0" fontId="23" fillId="0" borderId="0" xfId="4" applyFont="1" applyFill="1"/>
    <xf numFmtId="0" fontId="23" fillId="0" borderId="4" xfId="4" applyFont="1" applyBorder="1"/>
    <xf numFmtId="3" fontId="23" fillId="3" borderId="5" xfId="4" applyNumberFormat="1" applyFont="1" applyFill="1" applyBorder="1" applyAlignment="1">
      <alignment horizontal="right"/>
    </xf>
    <xf numFmtId="3" fontId="6" fillId="0" borderId="0" xfId="4" applyNumberFormat="1" applyFont="1" applyBorder="1"/>
    <xf numFmtId="3" fontId="9" fillId="0" borderId="6" xfId="7" applyNumberFormat="1" applyFont="1" applyBorder="1" applyAlignment="1">
      <alignment horizontal="right" vertical="center" wrapText="1"/>
    </xf>
    <xf numFmtId="3" fontId="17" fillId="0" borderId="6" xfId="4" applyNumberFormat="1" applyFont="1" applyBorder="1" applyAlignment="1">
      <alignment horizontal="right" wrapText="1"/>
    </xf>
    <xf numFmtId="3" fontId="66" fillId="0" borderId="6" xfId="7" applyNumberFormat="1" applyFont="1" applyBorder="1" applyAlignment="1">
      <alignment horizontal="right" wrapText="1"/>
    </xf>
    <xf numFmtId="3" fontId="21" fillId="0" borderId="6" xfId="7" applyNumberFormat="1" applyFont="1" applyBorder="1" applyAlignment="1">
      <alignment horizontal="right" wrapText="1"/>
    </xf>
    <xf numFmtId="3" fontId="68" fillId="0" borderId="6" xfId="4" applyNumberFormat="1" applyFont="1" applyBorder="1" applyAlignment="1">
      <alignment horizontal="right" wrapText="1"/>
    </xf>
    <xf numFmtId="3" fontId="15" fillId="0" borderId="6" xfId="4" applyNumberFormat="1" applyFont="1" applyBorder="1" applyAlignment="1">
      <alignment horizontal="right" vertical="center"/>
    </xf>
    <xf numFmtId="3" fontId="17" fillId="3" borderId="6" xfId="4" applyNumberFormat="1" applyFont="1" applyFill="1" applyBorder="1" applyAlignment="1">
      <alignment horizontal="right" wrapText="1"/>
    </xf>
    <xf numFmtId="3" fontId="15" fillId="0" borderId="9" xfId="4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center"/>
    </xf>
    <xf numFmtId="3" fontId="9" fillId="3" borderId="5" xfId="0" applyNumberFormat="1" applyFont="1" applyFill="1" applyBorder="1"/>
    <xf numFmtId="3" fontId="66" fillId="3" borderId="5" xfId="0" applyNumberFormat="1" applyFont="1" applyFill="1" applyBorder="1"/>
    <xf numFmtId="3" fontId="6" fillId="3" borderId="5" xfId="7" applyNumberFormat="1" applyFont="1" applyFill="1" applyBorder="1" applyAlignment="1">
      <alignment horizontal="right" wrapText="1"/>
    </xf>
    <xf numFmtId="3" fontId="19" fillId="3" borderId="5" xfId="4" applyNumberFormat="1" applyFont="1" applyFill="1" applyBorder="1" applyAlignment="1">
      <alignment horizontal="right" wrapText="1"/>
    </xf>
    <xf numFmtId="0" fontId="43" fillId="3" borderId="5" xfId="17" applyFont="1" applyFill="1" applyBorder="1" applyAlignment="1">
      <alignment horizontal="center" vertical="center" wrapText="1"/>
    </xf>
    <xf numFmtId="0" fontId="42" fillId="3" borderId="5" xfId="17" applyFont="1" applyFill="1" applyBorder="1" applyAlignment="1">
      <alignment horizontal="center" vertical="center" wrapText="1"/>
    </xf>
    <xf numFmtId="0" fontId="12" fillId="2" borderId="5" xfId="18" applyFont="1" applyFill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 wrapText="1"/>
    </xf>
    <xf numFmtId="0" fontId="17" fillId="0" borderId="4" xfId="4" applyFont="1" applyBorder="1" applyAlignment="1"/>
    <xf numFmtId="0" fontId="6" fillId="0" borderId="0" xfId="4" applyFont="1" applyBorder="1" applyAlignment="1"/>
    <xf numFmtId="3" fontId="6" fillId="0" borderId="0" xfId="4" applyNumberFormat="1" applyFont="1" applyBorder="1" applyAlignment="1"/>
    <xf numFmtId="3" fontId="6" fillId="3" borderId="0" xfId="4" applyNumberFormat="1" applyFont="1" applyFill="1" applyBorder="1" applyAlignment="1"/>
    <xf numFmtId="0" fontId="21" fillId="3" borderId="0" xfId="7" applyFont="1" applyFill="1" applyBorder="1" applyAlignment="1"/>
    <xf numFmtId="3" fontId="3" fillId="0" borderId="0" xfId="4" applyNumberFormat="1" applyFont="1" applyBorder="1" applyAlignment="1"/>
    <xf numFmtId="3" fontId="3" fillId="0" borderId="0" xfId="4" applyNumberFormat="1" applyFont="1"/>
    <xf numFmtId="3" fontId="3" fillId="3" borderId="6" xfId="18" applyNumberFormat="1" applyFont="1" applyFill="1" applyBorder="1" applyAlignment="1">
      <alignment vertical="center"/>
    </xf>
    <xf numFmtId="3" fontId="15" fillId="3" borderId="8" xfId="4" applyNumberFormat="1" applyFont="1" applyFill="1" applyBorder="1" applyAlignment="1"/>
    <xf numFmtId="3" fontId="15" fillId="3" borderId="9" xfId="4" applyNumberFormat="1" applyFont="1" applyFill="1" applyBorder="1" applyAlignment="1"/>
    <xf numFmtId="3" fontId="0" fillId="0" borderId="5" xfId="0" applyNumberFormat="1" applyBorder="1"/>
    <xf numFmtId="3" fontId="68" fillId="0" borderId="6" xfId="4" applyNumberFormat="1" applyFont="1" applyBorder="1" applyAlignment="1">
      <alignment horizontal="right"/>
    </xf>
    <xf numFmtId="0" fontId="15" fillId="0" borderId="4" xfId="4" applyFont="1" applyFill="1" applyBorder="1"/>
    <xf numFmtId="3" fontId="15" fillId="0" borderId="5" xfId="4" applyNumberFormat="1" applyFont="1" applyFill="1" applyBorder="1" applyAlignment="1">
      <alignment horizontal="right"/>
    </xf>
    <xf numFmtId="3" fontId="15" fillId="0" borderId="6" xfId="4" applyNumberFormat="1" applyFont="1" applyFill="1" applyBorder="1" applyAlignment="1">
      <alignment horizontal="right"/>
    </xf>
    <xf numFmtId="49" fontId="35" fillId="3" borderId="12" xfId="17" applyNumberFormat="1" applyFont="1" applyFill="1" applyBorder="1" applyAlignment="1">
      <alignment horizontal="center" vertical="center"/>
    </xf>
    <xf numFmtId="49" fontId="32" fillId="3" borderId="12" xfId="17" applyNumberFormat="1" applyFont="1" applyFill="1" applyBorder="1" applyAlignment="1">
      <alignment horizontal="center" vertical="center" wrapText="1"/>
    </xf>
    <xf numFmtId="49" fontId="33" fillId="3" borderId="12" xfId="17" applyNumberFormat="1" applyFont="1" applyFill="1" applyBorder="1" applyAlignment="1">
      <alignment horizontal="center" vertical="center"/>
    </xf>
    <xf numFmtId="49" fontId="10" fillId="3" borderId="12" xfId="17" applyNumberFormat="1" applyFill="1" applyBorder="1" applyAlignment="1">
      <alignment horizontal="center" vertical="center"/>
    </xf>
    <xf numFmtId="49" fontId="10" fillId="3" borderId="12" xfId="17" applyNumberFormat="1" applyFont="1" applyFill="1" applyBorder="1" applyAlignment="1">
      <alignment horizontal="center" vertical="center"/>
    </xf>
    <xf numFmtId="49" fontId="36" fillId="3" borderId="12" xfId="17" applyNumberFormat="1" applyFont="1" applyFill="1" applyBorder="1" applyAlignment="1">
      <alignment horizontal="center" vertical="center"/>
    </xf>
    <xf numFmtId="49" fontId="38" fillId="3" borderId="12" xfId="17" applyNumberFormat="1" applyFont="1" applyFill="1" applyBorder="1" applyAlignment="1">
      <alignment horizontal="center" vertical="center"/>
    </xf>
    <xf numFmtId="165" fontId="38" fillId="3" borderId="12" xfId="17" applyNumberFormat="1" applyFont="1" applyFill="1" applyBorder="1" applyAlignment="1">
      <alignment horizontal="center" vertical="center"/>
    </xf>
    <xf numFmtId="165" fontId="33" fillId="3" borderId="12" xfId="17" applyNumberFormat="1" applyFont="1" applyFill="1" applyBorder="1" applyAlignment="1">
      <alignment horizontal="center" vertical="center"/>
    </xf>
    <xf numFmtId="0" fontId="43" fillId="3" borderId="6" xfId="17" applyFont="1" applyFill="1" applyBorder="1" applyAlignment="1">
      <alignment horizontal="center" vertical="center" wrapText="1"/>
    </xf>
    <xf numFmtId="0" fontId="35" fillId="3" borderId="4" xfId="17" applyFont="1" applyFill="1" applyBorder="1" applyAlignment="1">
      <alignment horizontal="left" vertical="center" wrapText="1"/>
    </xf>
    <xf numFmtId="3" fontId="42" fillId="3" borderId="6" xfId="17" applyNumberFormat="1" applyFont="1" applyFill="1" applyBorder="1" applyAlignment="1">
      <alignment horizontal="right" vertical="center" wrapText="1"/>
    </xf>
    <xf numFmtId="0" fontId="10" fillId="3" borderId="4" xfId="17" applyFont="1" applyFill="1" applyBorder="1" applyAlignment="1">
      <alignment horizontal="right" vertical="center" wrapText="1"/>
    </xf>
    <xf numFmtId="165" fontId="41" fillId="3" borderId="6" xfId="17" applyNumberFormat="1" applyFont="1" applyFill="1" applyBorder="1" applyAlignment="1">
      <alignment horizontal="right" vertical="center" wrapText="1"/>
    </xf>
    <xf numFmtId="3" fontId="41" fillId="3" borderId="6" xfId="17" applyNumberFormat="1" applyFont="1" applyFill="1" applyBorder="1" applyAlignment="1">
      <alignment horizontal="right" vertical="center" wrapText="1"/>
    </xf>
    <xf numFmtId="0" fontId="32" fillId="3" borderId="4" xfId="17" applyFont="1" applyFill="1" applyBorder="1" applyAlignment="1">
      <alignment horizontal="left" vertical="center"/>
    </xf>
    <xf numFmtId="3" fontId="32" fillId="3" borderId="6" xfId="17" applyNumberFormat="1" applyFont="1" applyFill="1" applyBorder="1" applyAlignment="1">
      <alignment horizontal="right" vertical="center" wrapText="1"/>
    </xf>
    <xf numFmtId="0" fontId="36" fillId="3" borderId="4" xfId="17" applyFont="1" applyFill="1" applyBorder="1" applyAlignment="1">
      <alignment vertical="center" wrapText="1"/>
    </xf>
    <xf numFmtId="3" fontId="36" fillId="3" borderId="6" xfId="17" applyNumberFormat="1" applyFont="1" applyFill="1" applyBorder="1" applyAlignment="1">
      <alignment horizontal="right" vertical="center" wrapText="1"/>
    </xf>
    <xf numFmtId="0" fontId="32" fillId="3" borderId="4" xfId="17" applyFont="1" applyFill="1" applyBorder="1" applyAlignment="1">
      <alignment horizontal="center" vertical="center"/>
    </xf>
    <xf numFmtId="0" fontId="40" fillId="3" borderId="4" xfId="17" applyFont="1" applyFill="1" applyBorder="1" applyAlignment="1">
      <alignment vertical="center"/>
    </xf>
    <xf numFmtId="3" fontId="39" fillId="3" borderId="6" xfId="17" applyNumberFormat="1" applyFont="1" applyFill="1" applyBorder="1" applyAlignment="1">
      <alignment horizontal="right" vertical="center" wrapText="1"/>
    </xf>
    <xf numFmtId="0" fontId="6" fillId="3" borderId="4" xfId="17" applyFont="1" applyFill="1" applyBorder="1" applyAlignment="1">
      <alignment vertical="center" wrapText="1"/>
    </xf>
    <xf numFmtId="3" fontId="10" fillId="3" borderId="6" xfId="17" applyNumberFormat="1" applyFill="1" applyBorder="1" applyAlignment="1">
      <alignment horizontal="right" vertical="center" wrapText="1"/>
    </xf>
    <xf numFmtId="3" fontId="10" fillId="3" borderId="6" xfId="17" applyNumberFormat="1" applyFont="1" applyFill="1" applyBorder="1" applyAlignment="1">
      <alignment horizontal="right" vertical="center" wrapText="1"/>
    </xf>
    <xf numFmtId="0" fontId="10" fillId="3" borderId="4" xfId="17" applyFont="1" applyFill="1" applyBorder="1" applyAlignment="1">
      <alignment vertical="center" wrapText="1"/>
    </xf>
    <xf numFmtId="0" fontId="10" fillId="3" borderId="4" xfId="17" applyFont="1" applyFill="1" applyBorder="1" applyAlignment="1">
      <alignment vertical="center"/>
    </xf>
    <xf numFmtId="0" fontId="39" fillId="3" borderId="4" xfId="17" applyFont="1" applyFill="1" applyBorder="1" applyAlignment="1">
      <alignment vertical="center"/>
    </xf>
    <xf numFmtId="0" fontId="34" fillId="3" borderId="4" xfId="17" applyFont="1" applyFill="1" applyBorder="1" applyAlignment="1">
      <alignment vertical="center"/>
    </xf>
    <xf numFmtId="0" fontId="33" fillId="3" borderId="4" xfId="17" applyFont="1" applyFill="1" applyBorder="1" applyAlignment="1">
      <alignment vertical="center"/>
    </xf>
    <xf numFmtId="3" fontId="33" fillId="3" borderId="6" xfId="17" applyNumberFormat="1" applyFont="1" applyFill="1" applyBorder="1" applyAlignment="1">
      <alignment horizontal="right" vertical="center" wrapText="1"/>
    </xf>
    <xf numFmtId="0" fontId="32" fillId="3" borderId="4" xfId="17" applyFont="1" applyFill="1" applyBorder="1" applyAlignment="1">
      <alignment vertical="center"/>
    </xf>
    <xf numFmtId="3" fontId="38" fillId="3" borderId="6" xfId="17" applyNumberFormat="1" applyFont="1" applyFill="1" applyBorder="1" applyAlignment="1">
      <alignment horizontal="right" vertical="center" wrapText="1"/>
    </xf>
    <xf numFmtId="165" fontId="10" fillId="3" borderId="6" xfId="17" applyNumberFormat="1" applyFont="1" applyFill="1" applyBorder="1" applyAlignment="1">
      <alignment horizontal="right" vertical="center" wrapText="1"/>
    </xf>
    <xf numFmtId="165" fontId="33" fillId="3" borderId="7" xfId="17" applyNumberFormat="1" applyFont="1" applyFill="1" applyBorder="1" applyAlignment="1">
      <alignment horizontal="left" vertical="center"/>
    </xf>
    <xf numFmtId="165" fontId="33" fillId="3" borderId="8" xfId="17" applyNumberFormat="1" applyFont="1" applyFill="1" applyBorder="1" applyAlignment="1">
      <alignment horizontal="right" vertical="center" wrapText="1"/>
    </xf>
    <xf numFmtId="165" fontId="33" fillId="3" borderId="9" xfId="17" applyNumberFormat="1" applyFont="1" applyFill="1" applyBorder="1" applyAlignment="1">
      <alignment horizontal="right" vertical="center" wrapText="1"/>
    </xf>
    <xf numFmtId="3" fontId="6" fillId="3" borderId="6" xfId="18" applyNumberFormat="1" applyFont="1" applyFill="1" applyBorder="1"/>
    <xf numFmtId="3" fontId="30" fillId="3" borderId="6" xfId="18" applyNumberFormat="1" applyFont="1" applyFill="1" applyBorder="1" applyAlignment="1">
      <alignment horizontal="right"/>
    </xf>
    <xf numFmtId="3" fontId="23" fillId="3" borderId="6" xfId="18" applyNumberFormat="1" applyFont="1" applyFill="1" applyBorder="1" applyAlignment="1">
      <alignment horizontal="right"/>
    </xf>
    <xf numFmtId="3" fontId="23" fillId="0" borderId="5" xfId="18" applyNumberFormat="1" applyFont="1" applyBorder="1" applyAlignment="1">
      <alignment horizontal="right"/>
    </xf>
    <xf numFmtId="3" fontId="23" fillId="0" borderId="5" xfId="18" applyNumberFormat="1" applyFont="1" applyBorder="1" applyAlignment="1">
      <alignment horizontal="right" wrapText="1"/>
    </xf>
    <xf numFmtId="3" fontId="23" fillId="3" borderId="6" xfId="18" applyNumberFormat="1" applyFont="1" applyFill="1" applyBorder="1" applyAlignment="1">
      <alignment horizontal="right" wrapText="1"/>
    </xf>
    <xf numFmtId="3" fontId="3" fillId="0" borderId="5" xfId="18" applyNumberFormat="1" applyFont="1" applyFill="1" applyBorder="1"/>
    <xf numFmtId="3" fontId="3" fillId="3" borderId="6" xfId="18" applyNumberFormat="1" applyFont="1" applyFill="1" applyBorder="1"/>
    <xf numFmtId="0" fontId="0" fillId="3" borderId="5" xfId="0" applyFill="1" applyBorder="1"/>
    <xf numFmtId="3" fontId="6" fillId="3" borderId="0" xfId="4" applyNumberFormat="1" applyFont="1" applyFill="1" applyBorder="1"/>
    <xf numFmtId="3" fontId="68" fillId="3" borderId="6" xfId="4" applyNumberFormat="1" applyFont="1" applyFill="1" applyBorder="1" applyAlignment="1">
      <alignment horizontal="right"/>
    </xf>
    <xf numFmtId="0" fontId="3" fillId="0" borderId="5" xfId="7" applyFont="1" applyBorder="1" applyAlignment="1">
      <alignment horizontal="center" vertical="center" wrapText="1"/>
    </xf>
    <xf numFmtId="3" fontId="15" fillId="0" borderId="5" xfId="4" applyNumberFormat="1" applyFont="1" applyBorder="1" applyAlignment="1">
      <alignment horizontal="center" vertical="center" wrapText="1"/>
    </xf>
    <xf numFmtId="3" fontId="15" fillId="0" borderId="6" xfId="4" applyNumberFormat="1" applyFont="1" applyBorder="1" applyAlignment="1">
      <alignment horizontal="center" vertical="center" wrapText="1"/>
    </xf>
    <xf numFmtId="0" fontId="17" fillId="0" borderId="4" xfId="4" applyFont="1" applyBorder="1" applyAlignment="1"/>
    <xf numFmtId="3" fontId="18" fillId="0" borderId="5" xfId="4" applyNumberFormat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21" fillId="0" borderId="0" xfId="0" applyFont="1"/>
    <xf numFmtId="3" fontId="9" fillId="0" borderId="8" xfId="0" applyNumberFormat="1" applyFont="1" applyBorder="1"/>
    <xf numFmtId="3" fontId="9" fillId="0" borderId="9" xfId="0" applyNumberFormat="1" applyFont="1" applyBorder="1"/>
    <xf numFmtId="165" fontId="10" fillId="3" borderId="4" xfId="17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5" fillId="0" borderId="4" xfId="18" applyFont="1" applyFill="1" applyBorder="1"/>
    <xf numFmtId="3" fontId="5" fillId="0" borderId="5" xfId="18" applyNumberFormat="1" applyFont="1" applyFill="1" applyBorder="1" applyAlignment="1">
      <alignment horizontal="right"/>
    </xf>
    <xf numFmtId="3" fontId="5" fillId="0" borderId="6" xfId="18" applyNumberFormat="1" applyFont="1" applyFill="1" applyBorder="1" applyAlignment="1">
      <alignment horizontal="right"/>
    </xf>
    <xf numFmtId="0" fontId="1" fillId="0" borderId="0" xfId="0" applyFont="1"/>
    <xf numFmtId="3" fontId="5" fillId="0" borderId="5" xfId="18" applyNumberFormat="1" applyFont="1" applyFill="1" applyBorder="1"/>
    <xf numFmtId="3" fontId="5" fillId="3" borderId="5" xfId="18" applyNumberFormat="1" applyFont="1" applyFill="1" applyBorder="1"/>
    <xf numFmtId="3" fontId="5" fillId="3" borderId="6" xfId="18" applyNumberFormat="1" applyFont="1" applyFill="1" applyBorder="1"/>
    <xf numFmtId="0" fontId="0" fillId="0" borderId="0" xfId="0" applyAlignment="1"/>
    <xf numFmtId="0" fontId="13" fillId="0" borderId="0" xfId="4" applyFont="1" applyBorder="1" applyAlignment="1">
      <alignment horizontal="center" vertical="center"/>
    </xf>
    <xf numFmtId="3" fontId="53" fillId="0" borderId="0" xfId="0" applyNumberFormat="1" applyFont="1"/>
    <xf numFmtId="3" fontId="0" fillId="0" borderId="0" xfId="0" applyNumberFormat="1"/>
    <xf numFmtId="3" fontId="21" fillId="0" borderId="0" xfId="0" applyNumberFormat="1" applyFont="1"/>
    <xf numFmtId="0" fontId="0" fillId="0" borderId="0" xfId="0" applyFont="1" applyBorder="1"/>
    <xf numFmtId="0" fontId="53" fillId="0" borderId="0" xfId="0" applyFont="1" applyAlignment="1">
      <alignment horizontal="left"/>
    </xf>
    <xf numFmtId="0" fontId="0" fillId="3" borderId="0" xfId="7" applyFont="1" applyFill="1" applyBorder="1"/>
    <xf numFmtId="3" fontId="70" fillId="3" borderId="0" xfId="4" applyNumberFormat="1" applyFont="1" applyFill="1" applyBorder="1" applyAlignment="1">
      <alignment horizontal="right"/>
    </xf>
    <xf numFmtId="3" fontId="0" fillId="0" borderId="0" xfId="0" applyNumberFormat="1" applyFont="1"/>
    <xf numFmtId="3" fontId="25" fillId="0" borderId="0" xfId="0" applyNumberFormat="1" applyFont="1"/>
    <xf numFmtId="3" fontId="25" fillId="0" borderId="5" xfId="0" applyNumberFormat="1" applyFont="1" applyBorder="1"/>
    <xf numFmtId="0" fontId="53" fillId="0" borderId="5" xfId="0" applyFont="1" applyBorder="1" applyAlignment="1">
      <alignment horizontal="center"/>
    </xf>
    <xf numFmtId="10" fontId="0" fillId="0" borderId="0" xfId="0" applyNumberFormat="1"/>
    <xf numFmtId="3" fontId="0" fillId="0" borderId="5" xfId="0" applyNumberFormat="1" applyFont="1" applyBorder="1"/>
    <xf numFmtId="0" fontId="0" fillId="0" borderId="5" xfId="0" applyFont="1" applyBorder="1"/>
    <xf numFmtId="0" fontId="53" fillId="0" borderId="0" xfId="0" applyFont="1" applyAlignment="1">
      <alignment horizontal="center"/>
    </xf>
    <xf numFmtId="3" fontId="72" fillId="0" borderId="5" xfId="0" applyNumberFormat="1" applyFont="1" applyFill="1" applyBorder="1"/>
    <xf numFmtId="3" fontId="72" fillId="0" borderId="5" xfId="0" applyNumberFormat="1" applyFont="1" applyFill="1" applyBorder="1" applyAlignment="1"/>
    <xf numFmtId="3" fontId="73" fillId="0" borderId="5" xfId="0" applyNumberFormat="1" applyFont="1" applyFill="1" applyBorder="1" applyAlignment="1">
      <alignment wrapText="1"/>
    </xf>
    <xf numFmtId="3" fontId="53" fillId="0" borderId="5" xfId="0" applyNumberFormat="1" applyFont="1" applyBorder="1"/>
    <xf numFmtId="0" fontId="0" fillId="0" borderId="5" xfId="0" applyFont="1" applyBorder="1" applyAlignment="1"/>
    <xf numFmtId="0" fontId="0" fillId="0" borderId="5" xfId="0" applyFont="1" applyFill="1" applyBorder="1" applyAlignment="1"/>
    <xf numFmtId="9" fontId="0" fillId="0" borderId="5" xfId="0" applyNumberFormat="1" applyFont="1" applyBorder="1"/>
    <xf numFmtId="0" fontId="53" fillId="0" borderId="13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70" fillId="0" borderId="0" xfId="4" applyFont="1" applyBorder="1" applyAlignment="1">
      <alignment horizontal="left" vertical="center" wrapText="1"/>
    </xf>
    <xf numFmtId="3" fontId="70" fillId="0" borderId="0" xfId="4" applyNumberFormat="1" applyFont="1" applyBorder="1" applyAlignment="1">
      <alignment horizontal="right" vertical="center"/>
    </xf>
    <xf numFmtId="3" fontId="14" fillId="3" borderId="0" xfId="4" applyNumberFormat="1" applyFont="1" applyFill="1" applyBorder="1"/>
    <xf numFmtId="3" fontId="9" fillId="3" borderId="5" xfId="7" applyNumberFormat="1" applyFont="1" applyFill="1" applyBorder="1" applyAlignment="1">
      <alignment horizontal="right" vertical="center" wrapText="1"/>
    </xf>
    <xf numFmtId="3" fontId="66" fillId="3" borderId="5" xfId="7" applyNumberFormat="1" applyFont="1" applyFill="1" applyBorder="1" applyAlignment="1">
      <alignment horizontal="right" wrapText="1"/>
    </xf>
    <xf numFmtId="3" fontId="15" fillId="3" borderId="5" xfId="4" applyNumberFormat="1" applyFont="1" applyFill="1" applyBorder="1" applyAlignment="1">
      <alignment horizontal="right" vertical="center"/>
    </xf>
    <xf numFmtId="3" fontId="15" fillId="3" borderId="8" xfId="4" applyNumberFormat="1" applyFont="1" applyFill="1" applyBorder="1" applyAlignment="1">
      <alignment horizontal="right"/>
    </xf>
    <xf numFmtId="0" fontId="6" fillId="3" borderId="0" xfId="4" applyFont="1" applyFill="1" applyBorder="1"/>
    <xf numFmtId="0" fontId="53" fillId="0" borderId="5" xfId="0" applyFont="1" applyBorder="1"/>
    <xf numFmtId="0" fontId="0" fillId="0" borderId="13" xfId="0" applyFont="1" applyBorder="1"/>
    <xf numFmtId="3" fontId="0" fillId="0" borderId="13" xfId="0" applyNumberFormat="1" applyFont="1" applyBorder="1"/>
    <xf numFmtId="49" fontId="45" fillId="0" borderId="0" xfId="2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6" fillId="0" borderId="0" xfId="17" applyFont="1" applyBorder="1" applyAlignment="1">
      <alignment horizontal="right"/>
    </xf>
    <xf numFmtId="0" fontId="47" fillId="0" borderId="0" xfId="0" applyFont="1" applyAlignment="1">
      <alignment horizontal="right"/>
    </xf>
    <xf numFmtId="0" fontId="43" fillId="3" borderId="5" xfId="17" applyFont="1" applyFill="1" applyBorder="1" applyAlignment="1">
      <alignment horizontal="center" vertical="center" wrapText="1"/>
    </xf>
    <xf numFmtId="0" fontId="44" fillId="3" borderId="5" xfId="17" applyFont="1" applyFill="1" applyBorder="1" applyAlignment="1">
      <alignment horizontal="center" vertical="center" wrapText="1"/>
    </xf>
    <xf numFmtId="49" fontId="10" fillId="3" borderId="12" xfId="17" applyNumberFormat="1" applyFont="1" applyFill="1" applyBorder="1" applyAlignment="1">
      <alignment horizontal="center" vertical="center" wrapText="1"/>
    </xf>
    <xf numFmtId="0" fontId="42" fillId="3" borderId="1" xfId="17" applyFont="1" applyFill="1" applyBorder="1" applyAlignment="1">
      <alignment horizontal="center" vertical="center" wrapText="1"/>
    </xf>
    <xf numFmtId="0" fontId="42" fillId="3" borderId="4" xfId="17" applyFont="1" applyFill="1" applyBorder="1" applyAlignment="1">
      <alignment horizontal="center" vertical="center" wrapText="1"/>
    </xf>
    <xf numFmtId="0" fontId="43" fillId="3" borderId="2" xfId="17" applyFont="1" applyFill="1" applyBorder="1" applyAlignment="1">
      <alignment horizontal="center" vertical="center" wrapText="1"/>
    </xf>
    <xf numFmtId="0" fontId="10" fillId="3" borderId="2" xfId="17" applyFont="1" applyFill="1" applyBorder="1" applyAlignment="1">
      <alignment horizontal="center"/>
    </xf>
    <xf numFmtId="0" fontId="44" fillId="3" borderId="2" xfId="17" applyFont="1" applyFill="1" applyBorder="1" applyAlignment="1">
      <alignment horizontal="center" vertical="center" wrapText="1"/>
    </xf>
    <xf numFmtId="0" fontId="10" fillId="3" borderId="3" xfId="17" applyFont="1" applyFill="1" applyBorder="1" applyAlignment="1">
      <alignment horizontal="center"/>
    </xf>
    <xf numFmtId="0" fontId="42" fillId="3" borderId="5" xfId="17" applyFont="1" applyFill="1" applyBorder="1" applyAlignment="1">
      <alignment horizontal="center" vertical="center" wrapText="1"/>
    </xf>
    <xf numFmtId="0" fontId="43" fillId="3" borderId="6" xfId="17" applyFont="1" applyFill="1" applyBorder="1" applyAlignment="1">
      <alignment horizontal="center" vertical="center" wrapText="1"/>
    </xf>
    <xf numFmtId="0" fontId="12" fillId="2" borderId="2" xfId="18" applyFont="1" applyFill="1" applyBorder="1" applyAlignment="1">
      <alignment horizontal="center" vertical="center" wrapText="1"/>
    </xf>
    <xf numFmtId="0" fontId="2" fillId="0" borderId="5" xfId="4" applyBorder="1" applyAlignment="1">
      <alignment horizontal="center" vertical="center" wrapText="1"/>
    </xf>
    <xf numFmtId="0" fontId="12" fillId="2" borderId="3" xfId="18" applyFont="1" applyFill="1" applyBorder="1" applyAlignment="1">
      <alignment horizontal="center" vertical="center" wrapText="1"/>
    </xf>
    <xf numFmtId="0" fontId="12" fillId="2" borderId="6" xfId="18" applyFont="1" applyFill="1" applyBorder="1" applyAlignment="1">
      <alignment horizontal="center" vertical="center" wrapText="1"/>
    </xf>
    <xf numFmtId="0" fontId="4" fillId="0" borderId="0" xfId="18" applyFont="1" applyAlignment="1">
      <alignment horizontal="center"/>
    </xf>
    <xf numFmtId="0" fontId="12" fillId="2" borderId="1" xfId="18" applyFont="1" applyFill="1" applyBorder="1" applyAlignment="1">
      <alignment horizontal="center" vertical="center" wrapText="1"/>
    </xf>
    <xf numFmtId="0" fontId="12" fillId="2" borderId="4" xfId="18" applyFont="1" applyFill="1" applyBorder="1" applyAlignment="1">
      <alignment horizontal="center" vertical="center" wrapText="1"/>
    </xf>
    <xf numFmtId="0" fontId="12" fillId="2" borderId="5" xfId="18" applyFont="1" applyFill="1" applyBorder="1" applyAlignment="1">
      <alignment horizontal="center" vertical="center" wrapText="1"/>
    </xf>
    <xf numFmtId="0" fontId="12" fillId="0" borderId="2" xfId="18" applyFont="1" applyFill="1" applyBorder="1" applyAlignment="1">
      <alignment horizontal="center" vertical="center" wrapText="1"/>
    </xf>
    <xf numFmtId="0" fontId="12" fillId="0" borderId="5" xfId="18" applyFont="1" applyFill="1" applyBorder="1" applyAlignment="1">
      <alignment horizontal="center" vertical="center" wrapText="1"/>
    </xf>
    <xf numFmtId="0" fontId="6" fillId="0" borderId="4" xfId="19" applyFont="1" applyBorder="1" applyAlignment="1"/>
    <xf numFmtId="0" fontId="21" fillId="0" borderId="5" xfId="0" applyFont="1" applyBorder="1" applyAlignment="1"/>
    <xf numFmtId="0" fontId="6" fillId="0" borderId="5" xfId="19" applyFont="1" applyBorder="1" applyAlignment="1"/>
    <xf numFmtId="0" fontId="3" fillId="0" borderId="7" xfId="19" applyFont="1" applyFill="1" applyBorder="1" applyAlignment="1"/>
    <xf numFmtId="0" fontId="3" fillId="0" borderId="8" xfId="19" applyFont="1" applyFill="1" applyBorder="1" applyAlignment="1"/>
    <xf numFmtId="0" fontId="23" fillId="0" borderId="0" xfId="1" applyFont="1" applyAlignment="1">
      <alignment horizontal="right"/>
    </xf>
    <xf numFmtId="0" fontId="0" fillId="0" borderId="0" xfId="0" applyAlignment="1"/>
    <xf numFmtId="4" fontId="3" fillId="2" borderId="3" xfId="19" applyNumberFormat="1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" fontId="3" fillId="2" borderId="2" xfId="1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19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3" fillId="0" borderId="4" xfId="19" applyFont="1" applyBorder="1" applyAlignment="1">
      <alignment horizontal="center" wrapText="1"/>
    </xf>
    <xf numFmtId="0" fontId="3" fillId="0" borderId="5" xfId="19" applyFont="1" applyBorder="1" applyAlignment="1">
      <alignment horizont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2" xfId="1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19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1" xfId="1" applyFont="1" applyBorder="1" applyAlignment="1">
      <alignment horizontal="right"/>
    </xf>
    <xf numFmtId="0" fontId="0" fillId="0" borderId="11" xfId="0" applyBorder="1" applyAlignment="1"/>
    <xf numFmtId="0" fontId="9" fillId="0" borderId="0" xfId="0" applyFont="1" applyAlignment="1">
      <alignment horizontal="right"/>
    </xf>
    <xf numFmtId="0" fontId="27" fillId="0" borderId="0" xfId="9" applyFont="1" applyAlignment="1">
      <alignment horizontal="center"/>
    </xf>
    <xf numFmtId="0" fontId="3" fillId="2" borderId="1" xfId="1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28" fillId="0" borderId="2" xfId="9" applyFont="1" applyFill="1" applyBorder="1" applyAlignment="1">
      <alignment horizontal="center" vertical="center" wrapText="1"/>
    </xf>
    <xf numFmtId="0" fontId="6" fillId="3" borderId="4" xfId="19" applyFont="1" applyFill="1" applyBorder="1" applyAlignment="1"/>
    <xf numFmtId="0" fontId="6" fillId="3" borderId="5" xfId="19" applyFont="1" applyFill="1" applyBorder="1" applyAlignment="1"/>
    <xf numFmtId="0" fontId="0" fillId="3" borderId="5" xfId="0" applyFill="1" applyBorder="1" applyAlignment="1"/>
    <xf numFmtId="0" fontId="3" fillId="0" borderId="4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 wrapText="1"/>
    </xf>
    <xf numFmtId="3" fontId="4" fillId="0" borderId="0" xfId="19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3" fillId="2" borderId="3" xfId="19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19" applyFont="1" applyFill="1" applyBorder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 wrapText="1"/>
    </xf>
    <xf numFmtId="3" fontId="2" fillId="0" borderId="0" xfId="1" applyNumberFormat="1" applyAlignment="1"/>
    <xf numFmtId="3" fontId="54" fillId="0" borderId="10" xfId="1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0" fontId="0" fillId="0" borderId="10" xfId="0" applyBorder="1" applyAlignment="1"/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3" xfId="19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6" fillId="0" borderId="4" xfId="19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2" fillId="3" borderId="2" xfId="18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3" xfId="18" applyFont="1" applyFill="1" applyBorder="1" applyAlignment="1">
      <alignment horizontal="center" vertical="center" wrapText="1"/>
    </xf>
    <xf numFmtId="0" fontId="3" fillId="2" borderId="6" xfId="18" applyFont="1" applyFill="1" applyBorder="1" applyAlignment="1">
      <alignment horizontal="center" vertical="center" wrapText="1"/>
    </xf>
    <xf numFmtId="0" fontId="4" fillId="0" borderId="0" xfId="18" applyFont="1" applyAlignment="1">
      <alignment horizontal="center" vertical="center"/>
    </xf>
    <xf numFmtId="0" fontId="3" fillId="2" borderId="1" xfId="18" applyFont="1" applyFill="1" applyBorder="1" applyAlignment="1">
      <alignment horizontal="center" vertical="center" wrapText="1"/>
    </xf>
    <xf numFmtId="0" fontId="3" fillId="2" borderId="4" xfId="18" applyFont="1" applyFill="1" applyBorder="1" applyAlignment="1">
      <alignment horizontal="center" vertical="center" wrapText="1"/>
    </xf>
    <xf numFmtId="0" fontId="3" fillId="3" borderId="2" xfId="18" applyFont="1" applyFill="1" applyBorder="1" applyAlignment="1">
      <alignment horizontal="center" vertical="center" wrapText="1"/>
    </xf>
    <xf numFmtId="0" fontId="3" fillId="3" borderId="5" xfId="18" applyFont="1" applyFill="1" applyBorder="1" applyAlignment="1">
      <alignment horizontal="center" vertical="center" wrapText="1"/>
    </xf>
    <xf numFmtId="0" fontId="3" fillId="3" borderId="2" xfId="19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2" fillId="3" borderId="5" xfId="18" applyFont="1" applyFill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0" fillId="0" borderId="5" xfId="0" applyBorder="1" applyAlignment="1"/>
    <xf numFmtId="3" fontId="15" fillId="0" borderId="5" xfId="4" applyNumberFormat="1" applyFont="1" applyBorder="1" applyAlignment="1">
      <alignment horizontal="center" vertical="center" wrapText="1"/>
    </xf>
    <xf numFmtId="3" fontId="15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7" fillId="0" borderId="4" xfId="4" applyFont="1" applyBorder="1" applyAlignment="1"/>
    <xf numFmtId="0" fontId="15" fillId="0" borderId="2" xfId="4" applyFont="1" applyBorder="1" applyAlignment="1">
      <alignment horizontal="center"/>
    </xf>
    <xf numFmtId="0" fontId="15" fillId="0" borderId="3" xfId="4" applyFont="1" applyBorder="1" applyAlignment="1">
      <alignment horizontal="center"/>
    </xf>
    <xf numFmtId="3" fontId="15" fillId="3" borderId="5" xfId="4" applyNumberFormat="1" applyFont="1" applyFill="1" applyBorder="1" applyAlignment="1">
      <alignment horizontal="center" vertical="center" wrapText="1"/>
    </xf>
    <xf numFmtId="3" fontId="18" fillId="0" borderId="5" xfId="4" applyNumberFormat="1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0" fillId="0" borderId="2" xfId="0" applyBorder="1" applyAlignment="1"/>
    <xf numFmtId="0" fontId="9" fillId="0" borderId="5" xfId="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1" xfId="4" applyFont="1" applyBorder="1" applyAlignment="1">
      <alignment horizontal="center" vertical="center" wrapText="1"/>
    </xf>
    <xf numFmtId="0" fontId="14" fillId="0" borderId="4" xfId="4" applyFont="1" applyBorder="1" applyAlignment="1"/>
    <xf numFmtId="0" fontId="20" fillId="0" borderId="2" xfId="7" applyFont="1" applyBorder="1" applyAlignment="1">
      <alignment horizontal="center" vertical="center" wrapText="1"/>
    </xf>
    <xf numFmtId="0" fontId="16" fillId="0" borderId="2" xfId="7" applyFont="1" applyBorder="1" applyAlignment="1"/>
    <xf numFmtId="0" fontId="16" fillId="0" borderId="5" xfId="7" applyFont="1" applyBorder="1" applyAlignment="1"/>
    <xf numFmtId="0" fontId="69" fillId="0" borderId="2" xfId="4" applyFont="1" applyBorder="1" applyAlignment="1">
      <alignment horizontal="center" vertical="center"/>
    </xf>
    <xf numFmtId="0" fontId="69" fillId="0" borderId="3" xfId="4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1" fillId="0" borderId="0" xfId="0" applyFont="1" applyAlignment="1">
      <alignment horizont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2">
    <cellStyle name="Ezres 2" xfId="2"/>
    <cellStyle name="Ezres 2 2" xfId="3"/>
    <cellStyle name="Ezres 3" xfId="23"/>
    <cellStyle name="Ezres 4" xfId="24"/>
    <cellStyle name="headerStyle" xfId="25"/>
    <cellStyle name="headerStyle 2" xfId="26"/>
    <cellStyle name="Normál" xfId="0" builtinId="0"/>
    <cellStyle name="Normál 10" xfId="17"/>
    <cellStyle name="Normál 11" xfId="27"/>
    <cellStyle name="Normál 12" xfId="28"/>
    <cellStyle name="Normál 13" xfId="29"/>
    <cellStyle name="Normál 14" xfId="30"/>
    <cellStyle name="Normál 15" xfId="31"/>
    <cellStyle name="Normál 16" xfId="32"/>
    <cellStyle name="Normál 16 2" xfId="33"/>
    <cellStyle name="Normál 17" xfId="34"/>
    <cellStyle name="Normál 18" xfId="35"/>
    <cellStyle name="Normál 19" xfId="36"/>
    <cellStyle name="Normál 2" xfId="4"/>
    <cellStyle name="Normál 2 2" xfId="5"/>
    <cellStyle name="Normál 2 2 2" xfId="37"/>
    <cellStyle name="Normál 2 3" xfId="38"/>
    <cellStyle name="Normál 3" xfId="6"/>
    <cellStyle name="Normál 3 2" xfId="1"/>
    <cellStyle name="Normál 3 3" xfId="22"/>
    <cellStyle name="Normál 3 4" xfId="39"/>
    <cellStyle name="Normál 4" xfId="7"/>
    <cellStyle name="Normál 4 2" xfId="21"/>
    <cellStyle name="Normál 5" xfId="8"/>
    <cellStyle name="Normál 5 2" xfId="9"/>
    <cellStyle name="Normál 6" xfId="10"/>
    <cellStyle name="Normál 7" xfId="11"/>
    <cellStyle name="Normál 8" xfId="12"/>
    <cellStyle name="Normál 9" xfId="13"/>
    <cellStyle name="Normál_2006.évi költs.-mellékletei utolsó" xfId="18"/>
    <cellStyle name="Normál_2006.évi költségvetés tervezet 2 2" xfId="19"/>
    <cellStyle name="Normal_KARSZJ3" xfId="14"/>
    <cellStyle name="Normál_tématabló minta" xfId="20"/>
    <cellStyle name="Pénznem 2" xfId="15"/>
    <cellStyle name="Százalék 2" xfId="16"/>
    <cellStyle name="Százalék 2 2" xfId="40"/>
    <cellStyle name="Százalék 3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Nem%20kari%20jog&#225;ll&#225;s&#250;ak%20&#225;ltal%20k&#252;ld&#246;tt%20k&#246;lts&#233;gvet&#233;sek%2017_02_15\2-NKJ%20k&#246;lts&#233;gvet&#233;se%20&#246;sszese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T010202_G&#246;d&#246;ll&#337;i_Campus_T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E040101_GCampus%20&#220;zemeltet&#233;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E040201_GCampus%20Gondnoks&#225;g,%20kert&#233;sz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E040401_GCampus%20Rend&#233;sze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E040601_GCampus%20Ingatlangazd&#225;lkod&#225;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S010102_%20&#220;d&#252;l&#337;k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Beruh&#225;z&#225;si%20Oszt&#225;ly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SZIE_funkcionalis%20koltsegvetes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E060601_KAV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Tervez&#337;t&#225;bla_PR_2017_2_valtoz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T010101_Oktat&#225;si%20Igazgat&#243;s&#225;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T010203_B&#233;k&#233;si_Campus_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T010204_Budai_Campus_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80S040201_Z&#246;ld%20&#218;t%20Nyelvvizsga%20K&#246;zpo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90E040301_Biztons&#225;gszervez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_&#233;vi_k&#246;lts&#233;gvet&#233;s\R&#233;ka\K&#246;lts&#233;gvet&#233;s%202017\Koll&#233;gium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J összesen 2017_főszámok"/>
      <sheetName val="NKJ összesen 2017_ ERA szerint"/>
      <sheetName val="Rektori titkárság"/>
      <sheetName val="HumánpolFőoszt"/>
      <sheetName val="Karrier"/>
      <sheetName val="Könyvtár_Levéltár"/>
      <sheetName val="DHTH"/>
      <sheetName val="Gépmúzeum"/>
      <sheetName val="Norvég Alap"/>
      <sheetName val="NKI"/>
      <sheetName val="SZVK"/>
      <sheetName val="EgyMinKözp"/>
      <sheetName val="Okt.Igazg"/>
      <sheetName val="StratKoordFőoszt"/>
      <sheetName val="EHÖK"/>
      <sheetName val="Belsőell"/>
      <sheetName val="Kancellária"/>
      <sheetName val="BCI"/>
      <sheetName val="SZKPig"/>
      <sheetName val="Közbesz"/>
      <sheetName val="BiztMűszakiIg"/>
      <sheetName val="IFO"/>
      <sheetName val="PIF"/>
      <sheetName val="Sportiroda"/>
      <sheetName val="Botanikus"/>
    </sheetNames>
    <sheetDataSet>
      <sheetData sheetId="0">
        <row r="57">
          <cell r="D57">
            <v>70207</v>
          </cell>
        </row>
        <row r="60">
          <cell r="D60">
            <v>15757</v>
          </cell>
        </row>
        <row r="85">
          <cell r="D85">
            <v>7580</v>
          </cell>
        </row>
        <row r="88">
          <cell r="D88">
            <v>4200</v>
          </cell>
        </row>
        <row r="91">
          <cell r="D91">
            <v>0</v>
          </cell>
        </row>
      </sheetData>
      <sheetData sheetId="1"/>
      <sheetData sheetId="2"/>
      <sheetData sheetId="3">
        <row r="57">
          <cell r="F57">
            <v>33200</v>
          </cell>
        </row>
        <row r="60">
          <cell r="F60">
            <v>7304</v>
          </cell>
        </row>
        <row r="85">
          <cell r="F85">
            <v>1954</v>
          </cell>
        </row>
      </sheetData>
      <sheetData sheetId="4">
        <row r="57">
          <cell r="F57">
            <v>12046</v>
          </cell>
        </row>
        <row r="60">
          <cell r="F60">
            <v>2721</v>
          </cell>
        </row>
        <row r="85">
          <cell r="F85">
            <v>2706</v>
          </cell>
        </row>
        <row r="99">
          <cell r="F99">
            <v>514</v>
          </cell>
        </row>
      </sheetData>
      <sheetData sheetId="5"/>
      <sheetData sheetId="6"/>
      <sheetData sheetId="7">
        <row r="57">
          <cell r="F57">
            <v>29881</v>
          </cell>
        </row>
        <row r="60">
          <cell r="F60">
            <v>6982</v>
          </cell>
        </row>
        <row r="85">
          <cell r="F85">
            <v>14531</v>
          </cell>
        </row>
        <row r="99">
          <cell r="F99">
            <v>10160</v>
          </cell>
        </row>
      </sheetData>
      <sheetData sheetId="8"/>
      <sheetData sheetId="9">
        <row r="57">
          <cell r="F57">
            <v>40106</v>
          </cell>
        </row>
        <row r="60">
          <cell r="F60">
            <v>9113</v>
          </cell>
        </row>
        <row r="85">
          <cell r="F85">
            <v>50641</v>
          </cell>
        </row>
        <row r="88">
          <cell r="F88">
            <v>235565</v>
          </cell>
        </row>
        <row r="91">
          <cell r="F91">
            <v>1500</v>
          </cell>
        </row>
        <row r="99">
          <cell r="F99">
            <v>1778</v>
          </cell>
        </row>
        <row r="104">
          <cell r="F104">
            <v>25400</v>
          </cell>
        </row>
      </sheetData>
      <sheetData sheetId="10"/>
      <sheetData sheetId="11">
        <row r="4">
          <cell r="D4">
            <v>12000</v>
          </cell>
        </row>
        <row r="57">
          <cell r="F57">
            <v>7370</v>
          </cell>
        </row>
        <row r="60">
          <cell r="F60">
            <v>1614</v>
          </cell>
        </row>
        <row r="85">
          <cell r="F85">
            <v>3016</v>
          </cell>
        </row>
      </sheetData>
      <sheetData sheetId="12"/>
      <sheetData sheetId="13">
        <row r="5">
          <cell r="D5">
            <v>170189</v>
          </cell>
        </row>
        <row r="57">
          <cell r="F57">
            <v>62270</v>
          </cell>
        </row>
        <row r="60">
          <cell r="F60">
            <v>14006</v>
          </cell>
        </row>
        <row r="85">
          <cell r="F85">
            <v>86229</v>
          </cell>
        </row>
        <row r="99">
          <cell r="F99">
            <v>6414</v>
          </cell>
        </row>
        <row r="104">
          <cell r="F104">
            <v>1270</v>
          </cell>
        </row>
      </sheetData>
      <sheetData sheetId="14"/>
      <sheetData sheetId="15">
        <row r="57">
          <cell r="H57">
            <v>16550</v>
          </cell>
        </row>
        <row r="60">
          <cell r="H60">
            <v>3791</v>
          </cell>
        </row>
      </sheetData>
      <sheetData sheetId="16">
        <row r="57">
          <cell r="F57">
            <v>82986</v>
          </cell>
        </row>
        <row r="60">
          <cell r="F60">
            <v>17960</v>
          </cell>
        </row>
        <row r="85">
          <cell r="F85">
            <v>73009</v>
          </cell>
        </row>
      </sheetData>
      <sheetData sheetId="17"/>
      <sheetData sheetId="18">
        <row r="57">
          <cell r="F57">
            <v>155812</v>
          </cell>
        </row>
        <row r="60">
          <cell r="F60">
            <v>33992</v>
          </cell>
        </row>
        <row r="85">
          <cell r="F85">
            <v>4101</v>
          </cell>
        </row>
      </sheetData>
      <sheetData sheetId="19">
        <row r="57">
          <cell r="F57">
            <v>18620</v>
          </cell>
        </row>
        <row r="60">
          <cell r="F60">
            <v>4138</v>
          </cell>
        </row>
        <row r="85">
          <cell r="F85">
            <v>6115</v>
          </cell>
        </row>
        <row r="99">
          <cell r="F99">
            <v>508</v>
          </cell>
        </row>
      </sheetData>
      <sheetData sheetId="20"/>
      <sheetData sheetId="21">
        <row r="57">
          <cell r="F57">
            <v>88074</v>
          </cell>
        </row>
        <row r="60">
          <cell r="F60">
            <v>18957</v>
          </cell>
        </row>
        <row r="85">
          <cell r="F85">
            <v>185202.1</v>
          </cell>
        </row>
      </sheetData>
      <sheetData sheetId="22">
        <row r="57">
          <cell r="F57">
            <v>35979</v>
          </cell>
        </row>
        <row r="60">
          <cell r="F60">
            <v>8258</v>
          </cell>
        </row>
        <row r="85">
          <cell r="F85">
            <v>3650</v>
          </cell>
        </row>
      </sheetData>
      <sheetData sheetId="23">
        <row r="57">
          <cell r="F57">
            <v>9464</v>
          </cell>
        </row>
        <row r="99">
          <cell r="F99">
            <v>800</v>
          </cell>
        </row>
      </sheetData>
      <sheetData sheetId="24">
        <row r="57">
          <cell r="F57">
            <v>16649</v>
          </cell>
        </row>
        <row r="85">
          <cell r="F85">
            <v>4990</v>
          </cell>
        </row>
        <row r="104">
          <cell r="F104">
            <v>152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70182</v>
          </cell>
        </row>
        <row r="28">
          <cell r="F28">
            <v>16684</v>
          </cell>
        </row>
        <row r="53">
          <cell r="F53">
            <v>5404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64901</v>
          </cell>
        </row>
        <row r="28">
          <cell r="F28">
            <v>15084</v>
          </cell>
        </row>
        <row r="53">
          <cell r="F53">
            <v>42691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  <sheetName val="Kompatibilitási jelentés"/>
    </sheetNames>
    <sheetDataSet>
      <sheetData sheetId="0"/>
      <sheetData sheetId="1">
        <row r="25">
          <cell r="F25">
            <v>39302.199999999997</v>
          </cell>
        </row>
        <row r="28">
          <cell r="F28">
            <v>8838</v>
          </cell>
        </row>
        <row r="53">
          <cell r="F53">
            <v>62577.618999999999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49235</v>
          </cell>
        </row>
        <row r="28">
          <cell r="F28">
            <v>11649</v>
          </cell>
        </row>
        <row r="53">
          <cell r="F53">
            <v>5433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12817</v>
          </cell>
        </row>
        <row r="53">
          <cell r="F53">
            <v>3326</v>
          </cell>
        </row>
        <row r="67">
          <cell r="F67">
            <v>50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3303</v>
          </cell>
        </row>
        <row r="53">
          <cell r="F53">
            <v>2862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53">
          <cell r="F53">
            <v>225.60000000000002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IE  (2)"/>
      <sheetName val="SZIE "/>
    </sheetNames>
    <sheetDataSet>
      <sheetData sheetId="0"/>
      <sheetData sheetId="1">
        <row r="22">
          <cell r="C22">
            <v>3773128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11098</v>
          </cell>
        </row>
        <row r="28">
          <cell r="F28">
            <v>2424</v>
          </cell>
        </row>
        <row r="53">
          <cell r="F53">
            <v>95208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56">
          <cell r="F56">
            <v>360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33154</v>
          </cell>
        </row>
        <row r="28">
          <cell r="F28">
            <v>8143</v>
          </cell>
        </row>
        <row r="53">
          <cell r="F53">
            <v>10103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13179</v>
          </cell>
        </row>
        <row r="28">
          <cell r="F28">
            <v>2825</v>
          </cell>
        </row>
        <row r="53">
          <cell r="F53">
            <v>2511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31315</v>
          </cell>
        </row>
        <row r="28">
          <cell r="F28">
            <v>6719</v>
          </cell>
        </row>
        <row r="53">
          <cell r="F53">
            <v>6160</v>
          </cell>
        </row>
        <row r="67">
          <cell r="F67">
            <v>1524</v>
          </cell>
        </row>
        <row r="72">
          <cell r="F72">
            <v>635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8">
          <cell r="F28">
            <v>5993</v>
          </cell>
        </row>
        <row r="53">
          <cell r="F53">
            <v>16759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25">
          <cell r="F25">
            <v>27540</v>
          </cell>
        </row>
        <row r="28">
          <cell r="F28">
            <v>6073</v>
          </cell>
        </row>
        <row r="53">
          <cell r="F53">
            <v>15956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Kiadások"/>
      <sheetName val="Bevételek"/>
    </sheetNames>
    <sheetDataSet>
      <sheetData sheetId="0"/>
      <sheetData sheetId="1">
        <row r="53">
          <cell r="F53">
            <v>794178</v>
          </cell>
        </row>
        <row r="56">
          <cell r="F56">
            <v>0</v>
          </cell>
        </row>
        <row r="67">
          <cell r="F67">
            <v>2731</v>
          </cell>
        </row>
        <row r="72">
          <cell r="F72">
            <v>99060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123"/>
  <sheetViews>
    <sheetView showGridLines="0" zoomScale="85" zoomScaleNormal="85" zoomScaleSheetLayoutView="70" workbookViewId="0">
      <pane xSplit="3" ySplit="7" topLeftCell="I106" activePane="bottomRight" state="frozen"/>
      <selection activeCell="D10" sqref="D10"/>
      <selection pane="topRight" activeCell="D10" sqref="D10"/>
      <selection pane="bottomLeft" activeCell="D10" sqref="D10"/>
      <selection pane="bottomRight" activeCell="C118" sqref="C118"/>
    </sheetView>
  </sheetViews>
  <sheetFormatPr defaultRowHeight="12.75"/>
  <cols>
    <col min="1" max="1" width="3.42578125" style="111" customWidth="1"/>
    <col min="2" max="2" width="3.7109375" style="113" customWidth="1"/>
    <col min="3" max="3" width="42.42578125" style="117" customWidth="1"/>
    <col min="4" max="4" width="10" style="117" customWidth="1"/>
    <col min="5" max="6" width="12.85546875" style="117" customWidth="1"/>
    <col min="7" max="8" width="10.5703125" style="117" customWidth="1"/>
    <col min="9" max="9" width="10.5703125" style="118" customWidth="1"/>
    <col min="10" max="11" width="10.5703125" style="117" customWidth="1"/>
    <col min="12" max="12" width="10.5703125" style="118" customWidth="1"/>
    <col min="13" max="13" width="12.140625" style="117" customWidth="1"/>
    <col min="14" max="14" width="12" style="117" customWidth="1"/>
    <col min="15" max="15" width="10.85546875" style="117" customWidth="1"/>
    <col min="16" max="20" width="10.5703125" style="117" customWidth="1"/>
    <col min="21" max="21" width="11" style="117" customWidth="1"/>
    <col min="22" max="22" width="10.85546875" style="117" customWidth="1"/>
    <col min="23" max="16384" width="9.140625" style="111"/>
  </cols>
  <sheetData>
    <row r="1" spans="1:28" ht="3.75" customHeight="1"/>
    <row r="2" spans="1:28" ht="33" customHeight="1">
      <c r="U2" s="387" t="s">
        <v>169</v>
      </c>
      <c r="V2" s="388"/>
    </row>
    <row r="3" spans="1:28" ht="59.25" customHeight="1" thickBot="1">
      <c r="A3" s="385" t="s">
        <v>168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112"/>
      <c r="X3" s="112"/>
      <c r="Y3" s="112"/>
      <c r="Z3" s="112"/>
      <c r="AA3" s="112"/>
      <c r="AB3" s="112"/>
    </row>
    <row r="4" spans="1:28" s="110" customFormat="1">
      <c r="B4" s="391" t="s">
        <v>167</v>
      </c>
      <c r="C4" s="392" t="s">
        <v>166</v>
      </c>
      <c r="D4" s="394" t="s">
        <v>165</v>
      </c>
      <c r="E4" s="395" t="s">
        <v>164</v>
      </c>
      <c r="F4" s="395"/>
      <c r="G4" s="395"/>
      <c r="H4" s="395"/>
      <c r="I4" s="395"/>
      <c r="J4" s="395"/>
      <c r="K4" s="395"/>
      <c r="L4" s="395"/>
      <c r="M4" s="395"/>
      <c r="N4" s="396" t="s">
        <v>163</v>
      </c>
      <c r="O4" s="395" t="s">
        <v>162</v>
      </c>
      <c r="P4" s="395"/>
      <c r="Q4" s="395"/>
      <c r="R4" s="395"/>
      <c r="S4" s="395"/>
      <c r="T4" s="395"/>
      <c r="U4" s="395"/>
      <c r="V4" s="397"/>
    </row>
    <row r="5" spans="1:28" s="109" customFormat="1" ht="33.75" customHeight="1">
      <c r="B5" s="391"/>
      <c r="C5" s="393"/>
      <c r="D5" s="389"/>
      <c r="E5" s="398" t="s">
        <v>161</v>
      </c>
      <c r="F5" s="389" t="s">
        <v>160</v>
      </c>
      <c r="G5" s="398" t="s">
        <v>3</v>
      </c>
      <c r="H5" s="389" t="s">
        <v>4</v>
      </c>
      <c r="I5" s="389" t="s">
        <v>159</v>
      </c>
      <c r="J5" s="389" t="s">
        <v>158</v>
      </c>
      <c r="K5" s="398" t="s">
        <v>157</v>
      </c>
      <c r="L5" s="389" t="s">
        <v>156</v>
      </c>
      <c r="M5" s="390" t="s">
        <v>155</v>
      </c>
      <c r="N5" s="390"/>
      <c r="O5" s="390" t="s">
        <v>154</v>
      </c>
      <c r="P5" s="389" t="s">
        <v>153</v>
      </c>
      <c r="Q5" s="389" t="s">
        <v>152</v>
      </c>
      <c r="R5" s="389" t="s">
        <v>151</v>
      </c>
      <c r="S5" s="389" t="s">
        <v>150</v>
      </c>
      <c r="T5" s="389" t="s">
        <v>149</v>
      </c>
      <c r="U5" s="389" t="s">
        <v>148</v>
      </c>
      <c r="V5" s="399" t="s">
        <v>147</v>
      </c>
    </row>
    <row r="6" spans="1:28" s="109" customFormat="1" ht="23.25" customHeight="1">
      <c r="B6" s="391"/>
      <c r="C6" s="393"/>
      <c r="D6" s="389"/>
      <c r="E6" s="398"/>
      <c r="F6" s="389"/>
      <c r="G6" s="398"/>
      <c r="H6" s="389"/>
      <c r="I6" s="389"/>
      <c r="J6" s="389"/>
      <c r="K6" s="398"/>
      <c r="L6" s="389"/>
      <c r="M6" s="390"/>
      <c r="N6" s="390"/>
      <c r="O6" s="390"/>
      <c r="P6" s="389"/>
      <c r="Q6" s="389"/>
      <c r="R6" s="389"/>
      <c r="S6" s="389"/>
      <c r="T6" s="389"/>
      <c r="U6" s="389"/>
      <c r="V6" s="399"/>
    </row>
    <row r="7" spans="1:28" s="109" customFormat="1" ht="24" customHeight="1">
      <c r="B7" s="391"/>
      <c r="C7" s="393"/>
      <c r="D7" s="389"/>
      <c r="E7" s="264" t="s">
        <v>146</v>
      </c>
      <c r="F7" s="263" t="s">
        <v>145</v>
      </c>
      <c r="G7" s="264" t="s">
        <v>144</v>
      </c>
      <c r="H7" s="263" t="s">
        <v>143</v>
      </c>
      <c r="I7" s="263" t="s">
        <v>142</v>
      </c>
      <c r="J7" s="263" t="s">
        <v>141</v>
      </c>
      <c r="K7" s="264" t="s">
        <v>140</v>
      </c>
      <c r="L7" s="263" t="s">
        <v>139</v>
      </c>
      <c r="M7" s="264" t="s">
        <v>138</v>
      </c>
      <c r="N7" s="264" t="s">
        <v>137</v>
      </c>
      <c r="O7" s="264" t="s">
        <v>136</v>
      </c>
      <c r="P7" s="263" t="s">
        <v>135</v>
      </c>
      <c r="Q7" s="263" t="s">
        <v>134</v>
      </c>
      <c r="R7" s="263" t="s">
        <v>133</v>
      </c>
      <c r="S7" s="263" t="s">
        <v>132</v>
      </c>
      <c r="T7" s="263" t="s">
        <v>131</v>
      </c>
      <c r="U7" s="263" t="s">
        <v>130</v>
      </c>
      <c r="V7" s="291" t="s">
        <v>129</v>
      </c>
    </row>
    <row r="8" spans="1:28" s="108" customFormat="1" ht="12.95" customHeight="1">
      <c r="B8" s="282"/>
      <c r="C8" s="292" t="s">
        <v>128</v>
      </c>
      <c r="D8" s="119"/>
      <c r="E8" s="119"/>
      <c r="F8" s="119"/>
      <c r="G8" s="119"/>
      <c r="H8" s="119"/>
      <c r="I8" s="120"/>
      <c r="J8" s="119"/>
      <c r="K8" s="119"/>
      <c r="L8" s="120"/>
      <c r="M8" s="119"/>
      <c r="N8" s="119"/>
      <c r="O8" s="119"/>
      <c r="P8" s="119"/>
      <c r="Q8" s="119"/>
      <c r="R8" s="119"/>
      <c r="S8" s="119"/>
      <c r="T8" s="119"/>
      <c r="U8" s="119"/>
      <c r="V8" s="293"/>
    </row>
    <row r="9" spans="1:28" s="108" customFormat="1" ht="12.95" customHeight="1">
      <c r="B9" s="282" t="s">
        <v>85</v>
      </c>
      <c r="C9" s="294" t="s">
        <v>84</v>
      </c>
      <c r="D9" s="121"/>
      <c r="E9" s="122">
        <v>4724600</v>
      </c>
      <c r="F9" s="122">
        <v>1536200</v>
      </c>
      <c r="G9" s="122">
        <v>3289000</v>
      </c>
      <c r="H9" s="122">
        <v>207100</v>
      </c>
      <c r="I9" s="122">
        <v>15000</v>
      </c>
      <c r="J9" s="122">
        <v>474600</v>
      </c>
      <c r="K9" s="122">
        <v>381200</v>
      </c>
      <c r="L9" s="122">
        <v>3200</v>
      </c>
      <c r="M9" s="123">
        <f>SUM(E9:L9)</f>
        <v>10630900</v>
      </c>
      <c r="N9" s="123">
        <f>+M9-O9</f>
        <v>0</v>
      </c>
      <c r="O9" s="123">
        <f>SUM(P9:V9)</f>
        <v>10630900</v>
      </c>
      <c r="P9" s="122">
        <v>1235800</v>
      </c>
      <c r="Q9" s="122">
        <v>682000</v>
      </c>
      <c r="R9" s="122">
        <v>0</v>
      </c>
      <c r="S9" s="122">
        <v>7442200</v>
      </c>
      <c r="T9" s="122">
        <v>0</v>
      </c>
      <c r="U9" s="122">
        <v>450000</v>
      </c>
      <c r="V9" s="295">
        <v>820900</v>
      </c>
    </row>
    <row r="10" spans="1:28" s="108" customFormat="1" ht="12.95" customHeight="1">
      <c r="B10" s="282" t="s">
        <v>81</v>
      </c>
      <c r="C10" s="294" t="s">
        <v>83</v>
      </c>
      <c r="D10" s="121"/>
      <c r="E10" s="122">
        <v>5042500</v>
      </c>
      <c r="F10" s="122">
        <v>1186300</v>
      </c>
      <c r="G10" s="122">
        <v>1425600</v>
      </c>
      <c r="H10" s="122">
        <v>1238100</v>
      </c>
      <c r="I10" s="122">
        <v>0</v>
      </c>
      <c r="J10" s="122">
        <v>300000</v>
      </c>
      <c r="K10" s="122">
        <v>0</v>
      </c>
      <c r="L10" s="122">
        <v>0</v>
      </c>
      <c r="M10" s="123">
        <f>SUM(E10:L10)</f>
        <v>9192500</v>
      </c>
      <c r="N10" s="123">
        <f>+M10-O10</f>
        <v>9192500</v>
      </c>
      <c r="O10" s="123">
        <f>SUM(P10:V10)</f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296">
        <v>0</v>
      </c>
    </row>
    <row r="11" spans="1:28" s="106" customFormat="1" ht="12.95" customHeight="1">
      <c r="B11" s="283"/>
      <c r="C11" s="297" t="s">
        <v>127</v>
      </c>
      <c r="D11" s="124"/>
      <c r="E11" s="124">
        <f t="shared" ref="E11:V11" si="0">SUM(E8:E10)</f>
        <v>9767100</v>
      </c>
      <c r="F11" s="124">
        <f t="shared" si="0"/>
        <v>2722500</v>
      </c>
      <c r="G11" s="124">
        <f t="shared" si="0"/>
        <v>4714600</v>
      </c>
      <c r="H11" s="124">
        <f t="shared" si="0"/>
        <v>1445200</v>
      </c>
      <c r="I11" s="124">
        <f t="shared" si="0"/>
        <v>15000</v>
      </c>
      <c r="J11" s="124">
        <f t="shared" si="0"/>
        <v>774600</v>
      </c>
      <c r="K11" s="124">
        <f t="shared" si="0"/>
        <v>381200</v>
      </c>
      <c r="L11" s="124">
        <f t="shared" si="0"/>
        <v>3200</v>
      </c>
      <c r="M11" s="124">
        <f t="shared" si="0"/>
        <v>19823400</v>
      </c>
      <c r="N11" s="124">
        <f t="shared" si="0"/>
        <v>9192500</v>
      </c>
      <c r="O11" s="124">
        <f t="shared" si="0"/>
        <v>10630900</v>
      </c>
      <c r="P11" s="124">
        <f t="shared" si="0"/>
        <v>1235800</v>
      </c>
      <c r="Q11" s="124">
        <f t="shared" si="0"/>
        <v>682000</v>
      </c>
      <c r="R11" s="124">
        <f t="shared" si="0"/>
        <v>0</v>
      </c>
      <c r="S11" s="124">
        <f t="shared" si="0"/>
        <v>7442200</v>
      </c>
      <c r="T11" s="124">
        <f t="shared" si="0"/>
        <v>0</v>
      </c>
      <c r="U11" s="124">
        <f t="shared" si="0"/>
        <v>450000</v>
      </c>
      <c r="V11" s="298">
        <f t="shared" si="0"/>
        <v>820900</v>
      </c>
    </row>
    <row r="12" spans="1:28" s="107" customFormat="1" ht="12.95" customHeight="1">
      <c r="B12" s="283"/>
      <c r="C12" s="299"/>
      <c r="D12" s="125"/>
      <c r="E12" s="125"/>
      <c r="F12" s="125"/>
      <c r="G12" s="125"/>
      <c r="H12" s="125"/>
      <c r="I12" s="125"/>
      <c r="J12" s="125"/>
      <c r="K12" s="125"/>
      <c r="L12" s="125"/>
      <c r="M12" s="126">
        <f>SUM(E12:L12)</f>
        <v>0</v>
      </c>
      <c r="N12" s="126">
        <f>+M12-O12</f>
        <v>0</v>
      </c>
      <c r="O12" s="124">
        <f>SUM(P12:V12)</f>
        <v>0</v>
      </c>
      <c r="P12" s="125"/>
      <c r="Q12" s="125"/>
      <c r="R12" s="125"/>
      <c r="S12" s="125"/>
      <c r="T12" s="125"/>
      <c r="U12" s="125"/>
      <c r="V12" s="300"/>
    </row>
    <row r="13" spans="1:28" s="107" customFormat="1" ht="12.95" customHeight="1">
      <c r="B13" s="283"/>
      <c r="C13" s="299"/>
      <c r="D13" s="125"/>
      <c r="E13" s="125"/>
      <c r="F13" s="125"/>
      <c r="G13" s="125"/>
      <c r="H13" s="125"/>
      <c r="I13" s="125"/>
      <c r="J13" s="125"/>
      <c r="K13" s="125"/>
      <c r="L13" s="125"/>
      <c r="M13" s="126">
        <f>SUM(E13:L13)</f>
        <v>0</v>
      </c>
      <c r="N13" s="126">
        <f>+M13-O13</f>
        <v>0</v>
      </c>
      <c r="O13" s="124">
        <f>SUM(P13:V13)</f>
        <v>0</v>
      </c>
      <c r="P13" s="125"/>
      <c r="Q13" s="125"/>
      <c r="R13" s="125"/>
      <c r="S13" s="125"/>
      <c r="T13" s="125"/>
      <c r="U13" s="125"/>
      <c r="V13" s="300"/>
    </row>
    <row r="14" spans="1:28" s="107" customFormat="1" ht="12.95" customHeight="1">
      <c r="B14" s="283"/>
      <c r="C14" s="299"/>
      <c r="D14" s="125"/>
      <c r="E14" s="125"/>
      <c r="F14" s="125"/>
      <c r="G14" s="125"/>
      <c r="H14" s="125"/>
      <c r="I14" s="125"/>
      <c r="J14" s="125"/>
      <c r="K14" s="125"/>
      <c r="L14" s="125"/>
      <c r="M14" s="126">
        <f>SUM(E14:L14)</f>
        <v>0</v>
      </c>
      <c r="N14" s="126">
        <f>+M14-O14</f>
        <v>0</v>
      </c>
      <c r="O14" s="124">
        <f>SUM(P14:V14)</f>
        <v>0</v>
      </c>
      <c r="P14" s="125"/>
      <c r="Q14" s="125"/>
      <c r="R14" s="125"/>
      <c r="S14" s="125"/>
      <c r="T14" s="125"/>
      <c r="U14" s="125"/>
      <c r="V14" s="300"/>
    </row>
    <row r="15" spans="1:28" s="106" customFormat="1" ht="12.95" customHeight="1">
      <c r="B15" s="283"/>
      <c r="C15" s="301" t="s">
        <v>126</v>
      </c>
      <c r="D15" s="124">
        <v>2337</v>
      </c>
      <c r="E15" s="124">
        <f t="shared" ref="E15:V15" si="1">SUM(E11:E14)</f>
        <v>9767100</v>
      </c>
      <c r="F15" s="124">
        <f t="shared" si="1"/>
        <v>2722500</v>
      </c>
      <c r="G15" s="124">
        <f t="shared" si="1"/>
        <v>4714600</v>
      </c>
      <c r="H15" s="124">
        <f t="shared" si="1"/>
        <v>1445200</v>
      </c>
      <c r="I15" s="124">
        <f t="shared" si="1"/>
        <v>15000</v>
      </c>
      <c r="J15" s="124">
        <f t="shared" si="1"/>
        <v>774600</v>
      </c>
      <c r="K15" s="124">
        <f t="shared" si="1"/>
        <v>381200</v>
      </c>
      <c r="L15" s="124">
        <f t="shared" si="1"/>
        <v>3200</v>
      </c>
      <c r="M15" s="124">
        <f t="shared" si="1"/>
        <v>19823400</v>
      </c>
      <c r="N15" s="124">
        <f t="shared" si="1"/>
        <v>9192500</v>
      </c>
      <c r="O15" s="124">
        <f t="shared" si="1"/>
        <v>10630900</v>
      </c>
      <c r="P15" s="124">
        <f t="shared" si="1"/>
        <v>1235800</v>
      </c>
      <c r="Q15" s="124">
        <f t="shared" si="1"/>
        <v>682000</v>
      </c>
      <c r="R15" s="124">
        <f t="shared" si="1"/>
        <v>0</v>
      </c>
      <c r="S15" s="124">
        <f t="shared" si="1"/>
        <v>7442200</v>
      </c>
      <c r="T15" s="124">
        <f t="shared" si="1"/>
        <v>0</v>
      </c>
      <c r="U15" s="124">
        <f t="shared" si="1"/>
        <v>450000</v>
      </c>
      <c r="V15" s="298">
        <f t="shared" si="1"/>
        <v>820900</v>
      </c>
    </row>
    <row r="16" spans="1:28" s="106" customFormat="1" ht="12.95" customHeight="1">
      <c r="B16" s="283"/>
      <c r="C16" s="30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298"/>
    </row>
    <row r="17" spans="2:22" s="103" customFormat="1" ht="12.95" customHeight="1">
      <c r="B17" s="284"/>
      <c r="C17" s="302" t="s">
        <v>125</v>
      </c>
      <c r="D17" s="127"/>
      <c r="E17" s="127"/>
      <c r="F17" s="127"/>
      <c r="G17" s="127"/>
      <c r="H17" s="127"/>
      <c r="I17" s="126"/>
      <c r="J17" s="127"/>
      <c r="K17" s="127"/>
      <c r="L17" s="126"/>
      <c r="M17" s="127"/>
      <c r="N17" s="127"/>
      <c r="O17" s="127"/>
      <c r="P17" s="127"/>
      <c r="Q17" s="127"/>
      <c r="R17" s="127"/>
      <c r="S17" s="127"/>
      <c r="T17" s="127"/>
      <c r="U17" s="127"/>
      <c r="V17" s="303"/>
    </row>
    <row r="18" spans="2:22" s="105" customFormat="1" hidden="1">
      <c r="B18" s="285" t="s">
        <v>85</v>
      </c>
      <c r="C18" s="304" t="s">
        <v>124</v>
      </c>
      <c r="D18" s="128"/>
      <c r="E18" s="129"/>
      <c r="F18" s="129"/>
      <c r="G18" s="129"/>
      <c r="H18" s="129"/>
      <c r="I18" s="128"/>
      <c r="J18" s="129"/>
      <c r="K18" s="129"/>
      <c r="L18" s="128"/>
      <c r="M18" s="126">
        <f t="shared" ref="M18:M49" si="2">SUM(E18:L18)</f>
        <v>0</v>
      </c>
      <c r="N18" s="126">
        <f t="shared" ref="N18:N49" si="3">+M18-O18</f>
        <v>0</v>
      </c>
      <c r="O18" s="124">
        <f t="shared" ref="O18:O49" si="4">SUM(P18:V18)</f>
        <v>0</v>
      </c>
      <c r="P18" s="129"/>
      <c r="Q18" s="129"/>
      <c r="R18" s="129"/>
      <c r="S18" s="129"/>
      <c r="T18" s="129"/>
      <c r="U18" s="129"/>
      <c r="V18" s="305"/>
    </row>
    <row r="19" spans="2:22" s="99" customFormat="1" hidden="1">
      <c r="B19" s="285" t="s">
        <v>81</v>
      </c>
      <c r="C19" s="304" t="s">
        <v>123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6">
        <f t="shared" si="2"/>
        <v>0</v>
      </c>
      <c r="N19" s="126">
        <f t="shared" si="3"/>
        <v>0</v>
      </c>
      <c r="O19" s="124">
        <f t="shared" si="4"/>
        <v>0</v>
      </c>
      <c r="P19" s="128"/>
      <c r="Q19" s="128"/>
      <c r="R19" s="128"/>
      <c r="S19" s="128"/>
      <c r="T19" s="128"/>
      <c r="U19" s="128"/>
      <c r="V19" s="306"/>
    </row>
    <row r="20" spans="2:22" s="99" customFormat="1" hidden="1">
      <c r="B20" s="285" t="s">
        <v>85</v>
      </c>
      <c r="C20" s="304" t="s">
        <v>122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6">
        <f t="shared" si="2"/>
        <v>0</v>
      </c>
      <c r="N20" s="126">
        <f t="shared" si="3"/>
        <v>0</v>
      </c>
      <c r="O20" s="124">
        <f t="shared" si="4"/>
        <v>0</v>
      </c>
      <c r="P20" s="128"/>
      <c r="Q20" s="128"/>
      <c r="R20" s="128"/>
      <c r="S20" s="128"/>
      <c r="T20" s="128"/>
      <c r="U20" s="128"/>
      <c r="V20" s="306"/>
    </row>
    <row r="21" spans="2:22" s="99" customFormat="1" hidden="1">
      <c r="B21" s="285"/>
      <c r="C21" s="304" t="s">
        <v>121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6">
        <f t="shared" si="2"/>
        <v>0</v>
      </c>
      <c r="N21" s="126">
        <f t="shared" si="3"/>
        <v>0</v>
      </c>
      <c r="O21" s="124">
        <f t="shared" si="4"/>
        <v>0</v>
      </c>
      <c r="P21" s="128"/>
      <c r="Q21" s="128"/>
      <c r="R21" s="128"/>
      <c r="S21" s="128"/>
      <c r="T21" s="128"/>
      <c r="U21" s="128"/>
      <c r="V21" s="306"/>
    </row>
    <row r="22" spans="2:22" s="99" customFormat="1" hidden="1">
      <c r="B22" s="286" t="s">
        <v>81</v>
      </c>
      <c r="C22" s="307" t="s">
        <v>120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6">
        <f t="shared" si="2"/>
        <v>0</v>
      </c>
      <c r="N22" s="126">
        <f t="shared" si="3"/>
        <v>0</v>
      </c>
      <c r="O22" s="124">
        <f t="shared" si="4"/>
        <v>0</v>
      </c>
      <c r="P22" s="128"/>
      <c r="Q22" s="128"/>
      <c r="R22" s="128"/>
      <c r="S22" s="128"/>
      <c r="T22" s="128"/>
      <c r="U22" s="128"/>
      <c r="V22" s="306"/>
    </row>
    <row r="23" spans="2:22" s="99" customFormat="1" hidden="1">
      <c r="B23" s="286" t="s">
        <v>85</v>
      </c>
      <c r="C23" s="307" t="s">
        <v>119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6">
        <f t="shared" si="2"/>
        <v>0</v>
      </c>
      <c r="N23" s="126">
        <f t="shared" si="3"/>
        <v>0</v>
      </c>
      <c r="O23" s="124">
        <f t="shared" si="4"/>
        <v>0</v>
      </c>
      <c r="P23" s="128"/>
      <c r="Q23" s="128"/>
      <c r="R23" s="128"/>
      <c r="S23" s="128"/>
      <c r="T23" s="128"/>
      <c r="U23" s="128"/>
      <c r="V23" s="306"/>
    </row>
    <row r="24" spans="2:22" s="99" customFormat="1" ht="25.5" hidden="1">
      <c r="B24" s="286" t="s">
        <v>81</v>
      </c>
      <c r="C24" s="307" t="s">
        <v>118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6">
        <f t="shared" si="2"/>
        <v>0</v>
      </c>
      <c r="N24" s="126">
        <f t="shared" si="3"/>
        <v>0</v>
      </c>
      <c r="O24" s="124">
        <f t="shared" si="4"/>
        <v>0</v>
      </c>
      <c r="P24" s="128"/>
      <c r="Q24" s="128"/>
      <c r="R24" s="128"/>
      <c r="S24" s="128"/>
      <c r="T24" s="128"/>
      <c r="U24" s="128"/>
      <c r="V24" s="306"/>
    </row>
    <row r="25" spans="2:22" s="99" customFormat="1" ht="25.5" hidden="1">
      <c r="B25" s="286" t="s">
        <v>85</v>
      </c>
      <c r="C25" s="307" t="s">
        <v>118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6">
        <f t="shared" si="2"/>
        <v>0</v>
      </c>
      <c r="N25" s="126">
        <f t="shared" si="3"/>
        <v>0</v>
      </c>
      <c r="O25" s="124">
        <f t="shared" si="4"/>
        <v>0</v>
      </c>
      <c r="P25" s="128"/>
      <c r="Q25" s="128"/>
      <c r="R25" s="128"/>
      <c r="S25" s="128"/>
      <c r="T25" s="128"/>
      <c r="U25" s="128"/>
      <c r="V25" s="306"/>
    </row>
    <row r="26" spans="2:22" s="99" customFormat="1" ht="25.5" hidden="1">
      <c r="B26" s="286" t="s">
        <v>81</v>
      </c>
      <c r="C26" s="307" t="s">
        <v>91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6">
        <f t="shared" si="2"/>
        <v>0</v>
      </c>
      <c r="N26" s="126">
        <f t="shared" si="3"/>
        <v>0</v>
      </c>
      <c r="O26" s="124">
        <f t="shared" si="4"/>
        <v>0</v>
      </c>
      <c r="P26" s="128"/>
      <c r="Q26" s="128"/>
      <c r="R26" s="128"/>
      <c r="S26" s="128"/>
      <c r="T26" s="128"/>
      <c r="U26" s="128"/>
      <c r="V26" s="306"/>
    </row>
    <row r="27" spans="2:22" s="99" customFormat="1" ht="38.25" hidden="1">
      <c r="B27" s="286" t="s">
        <v>81</v>
      </c>
      <c r="C27" s="307" t="s">
        <v>117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6">
        <f t="shared" si="2"/>
        <v>0</v>
      </c>
      <c r="N27" s="126">
        <f t="shared" si="3"/>
        <v>0</v>
      </c>
      <c r="O27" s="124">
        <f t="shared" si="4"/>
        <v>0</v>
      </c>
      <c r="P27" s="128"/>
      <c r="Q27" s="128"/>
      <c r="R27" s="128"/>
      <c r="S27" s="128"/>
      <c r="T27" s="128"/>
      <c r="U27" s="128"/>
      <c r="V27" s="306"/>
    </row>
    <row r="28" spans="2:22" s="104" customFormat="1" ht="76.5" hidden="1">
      <c r="B28" s="286" t="s">
        <v>81</v>
      </c>
      <c r="C28" s="307" t="s">
        <v>116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6">
        <f t="shared" si="2"/>
        <v>0</v>
      </c>
      <c r="N28" s="126">
        <f t="shared" si="3"/>
        <v>0</v>
      </c>
      <c r="O28" s="124">
        <f t="shared" si="4"/>
        <v>0</v>
      </c>
      <c r="P28" s="128"/>
      <c r="Q28" s="128"/>
      <c r="R28" s="128"/>
      <c r="S28" s="128"/>
      <c r="T28" s="128"/>
      <c r="U28" s="128"/>
      <c r="V28" s="306"/>
    </row>
    <row r="29" spans="2:22" s="99" customFormat="1" hidden="1">
      <c r="B29" s="286" t="s">
        <v>81</v>
      </c>
      <c r="C29" s="307" t="s">
        <v>115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6">
        <f t="shared" si="2"/>
        <v>0</v>
      </c>
      <c r="N29" s="126">
        <f t="shared" si="3"/>
        <v>0</v>
      </c>
      <c r="O29" s="124">
        <f t="shared" si="4"/>
        <v>0</v>
      </c>
      <c r="P29" s="128"/>
      <c r="Q29" s="128"/>
      <c r="R29" s="128"/>
      <c r="S29" s="128"/>
      <c r="T29" s="128"/>
      <c r="U29" s="128"/>
      <c r="V29" s="306"/>
    </row>
    <row r="30" spans="2:22" s="99" customFormat="1" hidden="1">
      <c r="B30" s="286" t="s">
        <v>81</v>
      </c>
      <c r="C30" s="307" t="s">
        <v>114</v>
      </c>
      <c r="D30" s="124"/>
      <c r="E30" s="128"/>
      <c r="F30" s="124"/>
      <c r="G30" s="124"/>
      <c r="H30" s="124"/>
      <c r="I30" s="124"/>
      <c r="J30" s="124"/>
      <c r="K30" s="124"/>
      <c r="L30" s="124"/>
      <c r="M30" s="126">
        <f t="shared" si="2"/>
        <v>0</v>
      </c>
      <c r="N30" s="126">
        <f t="shared" si="3"/>
        <v>0</v>
      </c>
      <c r="O30" s="124">
        <f t="shared" si="4"/>
        <v>0</v>
      </c>
      <c r="P30" s="124"/>
      <c r="Q30" s="124"/>
      <c r="R30" s="124"/>
      <c r="S30" s="124"/>
      <c r="T30" s="124"/>
      <c r="U30" s="124"/>
      <c r="V30" s="298"/>
    </row>
    <row r="31" spans="2:22" s="99" customFormat="1" ht="38.25">
      <c r="B31" s="286" t="s">
        <v>81</v>
      </c>
      <c r="C31" s="307" t="s">
        <v>113</v>
      </c>
      <c r="D31" s="128">
        <v>-66</v>
      </c>
      <c r="E31" s="128">
        <v>-213031</v>
      </c>
      <c r="F31" s="128">
        <v>-57519</v>
      </c>
      <c r="G31" s="128">
        <v>-31950</v>
      </c>
      <c r="H31" s="128"/>
      <c r="I31" s="128"/>
      <c r="J31" s="128"/>
      <c r="K31" s="128"/>
      <c r="L31" s="128"/>
      <c r="M31" s="126">
        <f t="shared" si="2"/>
        <v>-302500</v>
      </c>
      <c r="N31" s="126">
        <f t="shared" si="3"/>
        <v>-302500</v>
      </c>
      <c r="O31" s="124">
        <f t="shared" si="4"/>
        <v>0</v>
      </c>
      <c r="P31" s="128"/>
      <c r="Q31" s="128"/>
      <c r="R31" s="128"/>
      <c r="S31" s="128"/>
      <c r="T31" s="128"/>
      <c r="U31" s="128"/>
      <c r="V31" s="306"/>
    </row>
    <row r="32" spans="2:22" s="99" customFormat="1" hidden="1">
      <c r="B32" s="286" t="s">
        <v>81</v>
      </c>
      <c r="C32" s="307" t="s">
        <v>112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6">
        <f t="shared" si="2"/>
        <v>0</v>
      </c>
      <c r="N32" s="126">
        <f t="shared" si="3"/>
        <v>0</v>
      </c>
      <c r="O32" s="124">
        <f t="shared" si="4"/>
        <v>0</v>
      </c>
      <c r="P32" s="128"/>
      <c r="Q32" s="128"/>
      <c r="R32" s="128"/>
      <c r="S32" s="128"/>
      <c r="T32" s="128"/>
      <c r="U32" s="128"/>
      <c r="V32" s="306"/>
    </row>
    <row r="33" spans="2:22" s="99" customFormat="1" ht="38.25">
      <c r="B33" s="286" t="s">
        <v>81</v>
      </c>
      <c r="C33" s="307" t="s">
        <v>111</v>
      </c>
      <c r="D33" s="128"/>
      <c r="E33" s="128">
        <v>142028</v>
      </c>
      <c r="F33" s="128">
        <v>38348</v>
      </c>
      <c r="G33" s="128"/>
      <c r="H33" s="128"/>
      <c r="I33" s="128"/>
      <c r="J33" s="128"/>
      <c r="K33" s="128"/>
      <c r="L33" s="128"/>
      <c r="M33" s="126">
        <f t="shared" si="2"/>
        <v>180376</v>
      </c>
      <c r="N33" s="126">
        <f t="shared" si="3"/>
        <v>180376</v>
      </c>
      <c r="O33" s="124">
        <f t="shared" si="4"/>
        <v>0</v>
      </c>
      <c r="P33" s="128"/>
      <c r="Q33" s="128"/>
      <c r="R33" s="128"/>
      <c r="S33" s="128"/>
      <c r="T33" s="128"/>
      <c r="U33" s="128"/>
      <c r="V33" s="306"/>
    </row>
    <row r="34" spans="2:22" s="99" customFormat="1">
      <c r="B34" s="286" t="s">
        <v>81</v>
      </c>
      <c r="C34" s="307" t="s">
        <v>110</v>
      </c>
      <c r="D34" s="128"/>
      <c r="E34" s="128">
        <v>48758</v>
      </c>
      <c r="F34" s="128">
        <v>13165</v>
      </c>
      <c r="G34" s="128"/>
      <c r="H34" s="128"/>
      <c r="I34" s="128"/>
      <c r="J34" s="128"/>
      <c r="K34" s="128"/>
      <c r="L34" s="128"/>
      <c r="M34" s="126">
        <f t="shared" si="2"/>
        <v>61923</v>
      </c>
      <c r="N34" s="126">
        <f t="shared" si="3"/>
        <v>61923</v>
      </c>
      <c r="O34" s="124">
        <f t="shared" si="4"/>
        <v>0</v>
      </c>
      <c r="P34" s="128"/>
      <c r="Q34" s="128"/>
      <c r="R34" s="128"/>
      <c r="S34" s="128"/>
      <c r="T34" s="128"/>
      <c r="U34" s="128"/>
      <c r="V34" s="306"/>
    </row>
    <row r="35" spans="2:22" s="99" customFormat="1" ht="25.5">
      <c r="B35" s="286" t="s">
        <v>81</v>
      </c>
      <c r="C35" s="307" t="s">
        <v>109</v>
      </c>
      <c r="D35" s="128"/>
      <c r="E35" s="128">
        <v>0</v>
      </c>
      <c r="F35" s="128">
        <v>0</v>
      </c>
      <c r="G35" s="128">
        <v>1077693</v>
      </c>
      <c r="H35" s="128">
        <v>296216</v>
      </c>
      <c r="I35" s="128"/>
      <c r="J35" s="128"/>
      <c r="K35" s="128"/>
      <c r="L35" s="128"/>
      <c r="M35" s="126">
        <f t="shared" si="2"/>
        <v>1373909</v>
      </c>
      <c r="N35" s="126">
        <f t="shared" si="3"/>
        <v>1373909</v>
      </c>
      <c r="O35" s="124">
        <f t="shared" si="4"/>
        <v>0</v>
      </c>
      <c r="P35" s="128"/>
      <c r="Q35" s="128"/>
      <c r="R35" s="128"/>
      <c r="S35" s="128"/>
      <c r="T35" s="128"/>
      <c r="U35" s="128"/>
      <c r="V35" s="306"/>
    </row>
    <row r="36" spans="2:22" s="99" customFormat="1" ht="12.95" customHeight="1">
      <c r="B36" s="286" t="s">
        <v>81</v>
      </c>
      <c r="C36" s="307" t="s">
        <v>108</v>
      </c>
      <c r="D36" s="128"/>
      <c r="E36" s="128"/>
      <c r="F36" s="128"/>
      <c r="G36" s="128"/>
      <c r="H36" s="128">
        <v>43260</v>
      </c>
      <c r="I36" s="128"/>
      <c r="J36" s="128"/>
      <c r="K36" s="128"/>
      <c r="L36" s="128"/>
      <c r="M36" s="126">
        <f t="shared" si="2"/>
        <v>43260</v>
      </c>
      <c r="N36" s="126">
        <f t="shared" si="3"/>
        <v>43260</v>
      </c>
      <c r="O36" s="124">
        <f t="shared" si="4"/>
        <v>0</v>
      </c>
      <c r="P36" s="128"/>
      <c r="Q36" s="128"/>
      <c r="R36" s="128"/>
      <c r="S36" s="128"/>
      <c r="T36" s="128"/>
      <c r="U36" s="128"/>
      <c r="V36" s="306"/>
    </row>
    <row r="37" spans="2:22" s="99" customFormat="1" ht="12.95" customHeight="1">
      <c r="B37" s="286" t="s">
        <v>81</v>
      </c>
      <c r="C37" s="307" t="s">
        <v>107</v>
      </c>
      <c r="D37" s="128"/>
      <c r="E37" s="128"/>
      <c r="F37" s="128"/>
      <c r="G37" s="128">
        <v>101745</v>
      </c>
      <c r="H37" s="128"/>
      <c r="I37" s="128"/>
      <c r="J37" s="128"/>
      <c r="K37" s="128"/>
      <c r="L37" s="128"/>
      <c r="M37" s="126">
        <f t="shared" si="2"/>
        <v>101745</v>
      </c>
      <c r="N37" s="126">
        <f t="shared" si="3"/>
        <v>101745</v>
      </c>
      <c r="O37" s="124">
        <f t="shared" si="4"/>
        <v>0</v>
      </c>
      <c r="P37" s="128"/>
      <c r="Q37" s="128"/>
      <c r="R37" s="128"/>
      <c r="S37" s="128"/>
      <c r="T37" s="128"/>
      <c r="U37" s="128"/>
      <c r="V37" s="306"/>
    </row>
    <row r="38" spans="2:22" s="99" customFormat="1" ht="12.95" customHeight="1">
      <c r="B38" s="286" t="s">
        <v>81</v>
      </c>
      <c r="C38" s="307" t="s">
        <v>106</v>
      </c>
      <c r="D38" s="128"/>
      <c r="E38" s="128">
        <v>0</v>
      </c>
      <c r="F38" s="128">
        <v>0</v>
      </c>
      <c r="G38" s="128"/>
      <c r="H38" s="128"/>
      <c r="I38" s="128"/>
      <c r="J38" s="128"/>
      <c r="K38" s="128"/>
      <c r="L38" s="128"/>
      <c r="M38" s="126">
        <f t="shared" si="2"/>
        <v>0</v>
      </c>
      <c r="N38" s="126">
        <f t="shared" si="3"/>
        <v>0</v>
      </c>
      <c r="O38" s="124">
        <f t="shared" si="4"/>
        <v>0</v>
      </c>
      <c r="P38" s="128"/>
      <c r="Q38" s="128"/>
      <c r="R38" s="128"/>
      <c r="S38" s="128"/>
      <c r="T38" s="128"/>
      <c r="U38" s="128"/>
      <c r="V38" s="306"/>
    </row>
    <row r="39" spans="2:22" s="99" customFormat="1" ht="12.95" customHeight="1">
      <c r="B39" s="286" t="s">
        <v>81</v>
      </c>
      <c r="C39" s="307" t="s">
        <v>105</v>
      </c>
      <c r="D39" s="128"/>
      <c r="E39" s="128">
        <v>0</v>
      </c>
      <c r="F39" s="128">
        <v>0</v>
      </c>
      <c r="G39" s="128"/>
      <c r="H39" s="128"/>
      <c r="I39" s="128"/>
      <c r="J39" s="128"/>
      <c r="K39" s="128"/>
      <c r="L39" s="128"/>
      <c r="M39" s="126">
        <f t="shared" si="2"/>
        <v>0</v>
      </c>
      <c r="N39" s="126">
        <f t="shared" si="3"/>
        <v>0</v>
      </c>
      <c r="O39" s="124">
        <f t="shared" si="4"/>
        <v>0</v>
      </c>
      <c r="P39" s="128"/>
      <c r="Q39" s="128"/>
      <c r="R39" s="128"/>
      <c r="S39" s="128"/>
      <c r="T39" s="128"/>
      <c r="U39" s="128"/>
      <c r="V39" s="306"/>
    </row>
    <row r="40" spans="2:22" s="99" customFormat="1" ht="12.95" customHeight="1">
      <c r="B40" s="286" t="s">
        <v>81</v>
      </c>
      <c r="C40" s="307" t="s">
        <v>104</v>
      </c>
      <c r="D40" s="128"/>
      <c r="E40" s="128">
        <v>0</v>
      </c>
      <c r="F40" s="128">
        <v>0</v>
      </c>
      <c r="G40" s="128"/>
      <c r="H40" s="128"/>
      <c r="I40" s="128"/>
      <c r="J40" s="128"/>
      <c r="K40" s="128"/>
      <c r="L40" s="128"/>
      <c r="M40" s="126">
        <f t="shared" si="2"/>
        <v>0</v>
      </c>
      <c r="N40" s="126">
        <f t="shared" si="3"/>
        <v>0</v>
      </c>
      <c r="O40" s="124">
        <f t="shared" si="4"/>
        <v>0</v>
      </c>
      <c r="P40" s="128"/>
      <c r="Q40" s="128"/>
      <c r="R40" s="128"/>
      <c r="S40" s="128"/>
      <c r="T40" s="128"/>
      <c r="U40" s="128"/>
      <c r="V40" s="306"/>
    </row>
    <row r="41" spans="2:22" s="99" customFormat="1" ht="12.95" customHeight="1">
      <c r="B41" s="286" t="s">
        <v>81</v>
      </c>
      <c r="C41" s="307" t="s">
        <v>103</v>
      </c>
      <c r="D41" s="128"/>
      <c r="E41" s="128">
        <v>0</v>
      </c>
      <c r="F41" s="128">
        <v>0</v>
      </c>
      <c r="G41" s="128">
        <v>0</v>
      </c>
      <c r="H41" s="128">
        <v>0</v>
      </c>
      <c r="I41" s="128"/>
      <c r="J41" s="128"/>
      <c r="K41" s="128"/>
      <c r="L41" s="128"/>
      <c r="M41" s="126">
        <f t="shared" si="2"/>
        <v>0</v>
      </c>
      <c r="N41" s="126">
        <f t="shared" si="3"/>
        <v>0</v>
      </c>
      <c r="O41" s="124">
        <f t="shared" si="4"/>
        <v>0</v>
      </c>
      <c r="P41" s="128"/>
      <c r="Q41" s="128"/>
      <c r="R41" s="128"/>
      <c r="S41" s="128"/>
      <c r="T41" s="128"/>
      <c r="U41" s="128"/>
      <c r="V41" s="306"/>
    </row>
    <row r="42" spans="2:22" s="99" customFormat="1" ht="12.95" customHeight="1">
      <c r="B42" s="286" t="s">
        <v>81</v>
      </c>
      <c r="C42" s="307" t="s">
        <v>102</v>
      </c>
      <c r="D42" s="128"/>
      <c r="E42" s="128">
        <v>0</v>
      </c>
      <c r="F42" s="128">
        <v>0</v>
      </c>
      <c r="G42" s="128">
        <v>0</v>
      </c>
      <c r="H42" s="128">
        <v>0</v>
      </c>
      <c r="I42" s="128"/>
      <c r="J42" s="128"/>
      <c r="K42" s="128"/>
      <c r="L42" s="128"/>
      <c r="M42" s="126">
        <f t="shared" si="2"/>
        <v>0</v>
      </c>
      <c r="N42" s="126">
        <f t="shared" si="3"/>
        <v>0</v>
      </c>
      <c r="O42" s="124">
        <f t="shared" si="4"/>
        <v>0</v>
      </c>
      <c r="P42" s="128"/>
      <c r="Q42" s="128"/>
      <c r="R42" s="128"/>
      <c r="S42" s="128"/>
      <c r="T42" s="128"/>
      <c r="U42" s="128"/>
      <c r="V42" s="306"/>
    </row>
    <row r="43" spans="2:22" s="99" customFormat="1" ht="12.95" customHeight="1">
      <c r="B43" s="286"/>
      <c r="C43" s="307"/>
      <c r="D43" s="128"/>
      <c r="E43" s="128"/>
      <c r="F43" s="128"/>
      <c r="G43" s="128"/>
      <c r="H43" s="128"/>
      <c r="I43" s="128"/>
      <c r="J43" s="128"/>
      <c r="K43" s="128"/>
      <c r="L43" s="128"/>
      <c r="M43" s="126">
        <f t="shared" si="2"/>
        <v>0</v>
      </c>
      <c r="N43" s="126">
        <f t="shared" si="3"/>
        <v>0</v>
      </c>
      <c r="O43" s="124">
        <f t="shared" si="4"/>
        <v>0</v>
      </c>
      <c r="P43" s="128"/>
      <c r="Q43" s="128"/>
      <c r="R43" s="128"/>
      <c r="S43" s="128"/>
      <c r="T43" s="128"/>
      <c r="U43" s="128"/>
      <c r="V43" s="306"/>
    </row>
    <row r="44" spans="2:22" s="99" customFormat="1" ht="12.95" customHeight="1">
      <c r="B44" s="286" t="s">
        <v>81</v>
      </c>
      <c r="C44" s="307" t="s">
        <v>101</v>
      </c>
      <c r="D44" s="128"/>
      <c r="E44" s="128">
        <v>-309859</v>
      </c>
      <c r="F44" s="128">
        <v>-21135</v>
      </c>
      <c r="G44" s="128">
        <v>-430604</v>
      </c>
      <c r="H44" s="128">
        <v>-252201</v>
      </c>
      <c r="I44" s="128">
        <v>0</v>
      </c>
      <c r="J44" s="128">
        <v>-70280</v>
      </c>
      <c r="K44" s="128">
        <v>0</v>
      </c>
      <c r="L44" s="128">
        <v>0</v>
      </c>
      <c r="M44" s="126">
        <f t="shared" si="2"/>
        <v>-1084079</v>
      </c>
      <c r="N44" s="126">
        <f t="shared" si="3"/>
        <v>-1084079</v>
      </c>
      <c r="O44" s="124">
        <f t="shared" si="4"/>
        <v>0</v>
      </c>
      <c r="P44" s="128"/>
      <c r="Q44" s="128"/>
      <c r="R44" s="128"/>
      <c r="S44" s="128"/>
      <c r="T44" s="128"/>
      <c r="U44" s="128"/>
      <c r="V44" s="306"/>
    </row>
    <row r="45" spans="2:22" s="99" customFormat="1" ht="25.5" hidden="1">
      <c r="B45" s="286" t="s">
        <v>85</v>
      </c>
      <c r="C45" s="307" t="s">
        <v>100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6">
        <f t="shared" si="2"/>
        <v>0</v>
      </c>
      <c r="N45" s="126">
        <f t="shared" si="3"/>
        <v>0</v>
      </c>
      <c r="O45" s="124">
        <f t="shared" si="4"/>
        <v>0</v>
      </c>
      <c r="P45" s="128"/>
      <c r="Q45" s="128"/>
      <c r="R45" s="128"/>
      <c r="S45" s="128"/>
      <c r="T45" s="128"/>
      <c r="U45" s="128"/>
      <c r="V45" s="306"/>
    </row>
    <row r="46" spans="2:22" s="99" customFormat="1" ht="25.5" hidden="1">
      <c r="B46" s="286" t="s">
        <v>81</v>
      </c>
      <c r="C46" s="307" t="s">
        <v>100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6">
        <f t="shared" si="2"/>
        <v>0</v>
      </c>
      <c r="N46" s="126">
        <f t="shared" si="3"/>
        <v>0</v>
      </c>
      <c r="O46" s="124">
        <f t="shared" si="4"/>
        <v>0</v>
      </c>
      <c r="P46" s="128"/>
      <c r="Q46" s="128"/>
      <c r="R46" s="128"/>
      <c r="S46" s="128"/>
      <c r="T46" s="128"/>
      <c r="U46" s="128"/>
      <c r="V46" s="306"/>
    </row>
    <row r="47" spans="2:22" s="99" customFormat="1" hidden="1">
      <c r="B47" s="286"/>
      <c r="C47" s="307"/>
      <c r="D47" s="128"/>
      <c r="E47" s="128"/>
      <c r="F47" s="128"/>
      <c r="G47" s="128"/>
      <c r="H47" s="128"/>
      <c r="I47" s="128"/>
      <c r="J47" s="128"/>
      <c r="K47" s="128"/>
      <c r="L47" s="128"/>
      <c r="M47" s="126">
        <f t="shared" si="2"/>
        <v>0</v>
      </c>
      <c r="N47" s="126">
        <f t="shared" si="3"/>
        <v>0</v>
      </c>
      <c r="O47" s="124">
        <f t="shared" si="4"/>
        <v>0</v>
      </c>
      <c r="P47" s="128"/>
      <c r="Q47" s="128"/>
      <c r="R47" s="128"/>
      <c r="S47" s="128"/>
      <c r="T47" s="128"/>
      <c r="U47" s="128"/>
      <c r="V47" s="306"/>
    </row>
    <row r="48" spans="2:22" s="99" customFormat="1" ht="25.5" hidden="1">
      <c r="B48" s="286" t="s">
        <v>85</v>
      </c>
      <c r="C48" s="307" t="s">
        <v>99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6">
        <f t="shared" si="2"/>
        <v>0</v>
      </c>
      <c r="N48" s="126">
        <f t="shared" si="3"/>
        <v>0</v>
      </c>
      <c r="O48" s="124">
        <f t="shared" si="4"/>
        <v>0</v>
      </c>
      <c r="P48" s="128"/>
      <c r="Q48" s="128"/>
      <c r="R48" s="128"/>
      <c r="S48" s="128"/>
      <c r="T48" s="128"/>
      <c r="U48" s="128"/>
      <c r="V48" s="306"/>
    </row>
    <row r="49" spans="2:22" s="99" customFormat="1" ht="25.5" hidden="1">
      <c r="B49" s="286" t="s">
        <v>81</v>
      </c>
      <c r="C49" s="307" t="s">
        <v>99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6">
        <f t="shared" si="2"/>
        <v>0</v>
      </c>
      <c r="N49" s="126">
        <f t="shared" si="3"/>
        <v>0</v>
      </c>
      <c r="O49" s="124">
        <f t="shared" si="4"/>
        <v>0</v>
      </c>
      <c r="P49" s="128"/>
      <c r="Q49" s="128"/>
      <c r="R49" s="128"/>
      <c r="S49" s="128"/>
      <c r="T49" s="128"/>
      <c r="U49" s="128"/>
      <c r="V49" s="306"/>
    </row>
    <row r="50" spans="2:22" s="99" customFormat="1" ht="25.5" hidden="1">
      <c r="B50" s="286" t="s">
        <v>85</v>
      </c>
      <c r="C50" s="307" t="s">
        <v>98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6">
        <f t="shared" ref="M50:M81" si="5">SUM(E50:L50)</f>
        <v>0</v>
      </c>
      <c r="N50" s="126">
        <f t="shared" ref="N50:N81" si="6">+M50-O50</f>
        <v>0</v>
      </c>
      <c r="O50" s="124">
        <f t="shared" ref="O50:O81" si="7">SUM(P50:V50)</f>
        <v>0</v>
      </c>
      <c r="P50" s="128"/>
      <c r="Q50" s="128"/>
      <c r="R50" s="128"/>
      <c r="S50" s="128"/>
      <c r="T50" s="128"/>
      <c r="U50" s="128"/>
      <c r="V50" s="306"/>
    </row>
    <row r="51" spans="2:22" s="99" customFormat="1" ht="25.5" hidden="1">
      <c r="B51" s="286" t="s">
        <v>81</v>
      </c>
      <c r="C51" s="307" t="s">
        <v>98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6">
        <f t="shared" si="5"/>
        <v>0</v>
      </c>
      <c r="N51" s="126">
        <f t="shared" si="6"/>
        <v>0</v>
      </c>
      <c r="O51" s="124">
        <f t="shared" si="7"/>
        <v>0</v>
      </c>
      <c r="P51" s="128"/>
      <c r="Q51" s="128"/>
      <c r="R51" s="128"/>
      <c r="S51" s="128"/>
      <c r="T51" s="128"/>
      <c r="U51" s="128"/>
      <c r="V51" s="306"/>
    </row>
    <row r="52" spans="2:22" s="99" customFormat="1" hidden="1">
      <c r="B52" s="286"/>
      <c r="C52" s="307"/>
      <c r="D52" s="128"/>
      <c r="E52" s="128"/>
      <c r="F52" s="128"/>
      <c r="G52" s="128"/>
      <c r="H52" s="128"/>
      <c r="I52" s="128"/>
      <c r="J52" s="128"/>
      <c r="K52" s="128"/>
      <c r="L52" s="128"/>
      <c r="M52" s="126">
        <f t="shared" si="5"/>
        <v>0</v>
      </c>
      <c r="N52" s="126">
        <f t="shared" si="6"/>
        <v>0</v>
      </c>
      <c r="O52" s="124">
        <f t="shared" si="7"/>
        <v>0</v>
      </c>
      <c r="P52" s="128"/>
      <c r="Q52" s="128"/>
      <c r="R52" s="128"/>
      <c r="S52" s="128"/>
      <c r="T52" s="128"/>
      <c r="U52" s="128"/>
      <c r="V52" s="306"/>
    </row>
    <row r="53" spans="2:22" s="99" customFormat="1" hidden="1">
      <c r="B53" s="286"/>
      <c r="C53" s="307"/>
      <c r="D53" s="128"/>
      <c r="E53" s="128"/>
      <c r="F53" s="128"/>
      <c r="G53" s="128"/>
      <c r="H53" s="128"/>
      <c r="I53" s="128"/>
      <c r="J53" s="128"/>
      <c r="K53" s="128"/>
      <c r="L53" s="128"/>
      <c r="M53" s="126">
        <f t="shared" si="5"/>
        <v>0</v>
      </c>
      <c r="N53" s="126">
        <f t="shared" si="6"/>
        <v>0</v>
      </c>
      <c r="O53" s="124">
        <f t="shared" si="7"/>
        <v>0</v>
      </c>
      <c r="P53" s="128"/>
      <c r="Q53" s="128"/>
      <c r="R53" s="128"/>
      <c r="S53" s="128"/>
      <c r="T53" s="128"/>
      <c r="U53" s="128"/>
      <c r="V53" s="306"/>
    </row>
    <row r="54" spans="2:22" s="99" customFormat="1" ht="25.5" hidden="1">
      <c r="B54" s="286" t="s">
        <v>85</v>
      </c>
      <c r="C54" s="307" t="s">
        <v>97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6">
        <f t="shared" si="5"/>
        <v>0</v>
      </c>
      <c r="N54" s="126">
        <f t="shared" si="6"/>
        <v>0</v>
      </c>
      <c r="O54" s="124">
        <f t="shared" si="7"/>
        <v>0</v>
      </c>
      <c r="P54" s="128"/>
      <c r="Q54" s="128"/>
      <c r="R54" s="128"/>
      <c r="S54" s="128"/>
      <c r="T54" s="128"/>
      <c r="U54" s="128"/>
      <c r="V54" s="306"/>
    </row>
    <row r="55" spans="2:22" s="99" customFormat="1" ht="25.5" hidden="1">
      <c r="B55" s="286" t="s">
        <v>81</v>
      </c>
      <c r="C55" s="307" t="s">
        <v>97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6">
        <f t="shared" si="5"/>
        <v>0</v>
      </c>
      <c r="N55" s="126">
        <f t="shared" si="6"/>
        <v>0</v>
      </c>
      <c r="O55" s="124">
        <f t="shared" si="7"/>
        <v>0</v>
      </c>
      <c r="P55" s="128"/>
      <c r="Q55" s="128"/>
      <c r="R55" s="128"/>
      <c r="S55" s="128"/>
      <c r="T55" s="128"/>
      <c r="U55" s="128"/>
      <c r="V55" s="306"/>
    </row>
    <row r="56" spans="2:22" s="99" customFormat="1" hidden="1">
      <c r="B56" s="286"/>
      <c r="C56" s="307"/>
      <c r="D56" s="128"/>
      <c r="E56" s="128"/>
      <c r="F56" s="128"/>
      <c r="G56" s="128"/>
      <c r="H56" s="128"/>
      <c r="I56" s="128"/>
      <c r="J56" s="128"/>
      <c r="K56" s="128"/>
      <c r="L56" s="128"/>
      <c r="M56" s="126">
        <f t="shared" si="5"/>
        <v>0</v>
      </c>
      <c r="N56" s="126">
        <f t="shared" si="6"/>
        <v>0</v>
      </c>
      <c r="O56" s="124">
        <f t="shared" si="7"/>
        <v>0</v>
      </c>
      <c r="P56" s="128"/>
      <c r="Q56" s="128"/>
      <c r="R56" s="128"/>
      <c r="S56" s="128"/>
      <c r="T56" s="128"/>
      <c r="U56" s="128"/>
      <c r="V56" s="306"/>
    </row>
    <row r="57" spans="2:22" s="99" customFormat="1" ht="25.5">
      <c r="B57" s="286" t="s">
        <v>85</v>
      </c>
      <c r="C57" s="307" t="s">
        <v>96</v>
      </c>
      <c r="D57" s="128"/>
      <c r="E57" s="130">
        <v>-592581</v>
      </c>
      <c r="F57" s="128">
        <v>-160488</v>
      </c>
      <c r="G57" s="128">
        <v>-708695</v>
      </c>
      <c r="H57" s="128"/>
      <c r="I57" s="128"/>
      <c r="J57" s="128">
        <v>-45468</v>
      </c>
      <c r="K57" s="128">
        <v>-6400</v>
      </c>
      <c r="L57" s="128"/>
      <c r="M57" s="126">
        <f t="shared" si="5"/>
        <v>-1513632</v>
      </c>
      <c r="N57" s="126">
        <f t="shared" si="6"/>
        <v>0</v>
      </c>
      <c r="O57" s="124">
        <f t="shared" si="7"/>
        <v>-1513632</v>
      </c>
      <c r="P57" s="128">
        <v>-57702</v>
      </c>
      <c r="Q57" s="128"/>
      <c r="R57" s="128"/>
      <c r="S57" s="128">
        <v>-1452534</v>
      </c>
      <c r="T57" s="128"/>
      <c r="U57" s="128">
        <v>-3396</v>
      </c>
      <c r="V57" s="306"/>
    </row>
    <row r="58" spans="2:22" s="99" customFormat="1" ht="25.5">
      <c r="B58" s="286" t="s">
        <v>81</v>
      </c>
      <c r="C58" s="307" t="s">
        <v>96</v>
      </c>
      <c r="D58" s="128">
        <v>-451</v>
      </c>
      <c r="E58" s="130">
        <v>-404781</v>
      </c>
      <c r="F58" s="128">
        <v>-120035</v>
      </c>
      <c r="G58" s="128">
        <v>-35792</v>
      </c>
      <c r="H58" s="128">
        <v>-54727</v>
      </c>
      <c r="I58" s="128"/>
      <c r="J58" s="128"/>
      <c r="K58" s="128"/>
      <c r="L58" s="128"/>
      <c r="M58" s="126">
        <f t="shared" si="5"/>
        <v>-615335</v>
      </c>
      <c r="N58" s="126">
        <f t="shared" si="6"/>
        <v>-615335</v>
      </c>
      <c r="O58" s="124">
        <f t="shared" si="7"/>
        <v>0</v>
      </c>
      <c r="P58" s="128"/>
      <c r="Q58" s="128"/>
      <c r="R58" s="128"/>
      <c r="S58" s="128"/>
      <c r="T58" s="128"/>
      <c r="U58" s="128"/>
      <c r="V58" s="306"/>
    </row>
    <row r="59" spans="2:22" s="99" customFormat="1" ht="38.25">
      <c r="B59" s="286" t="s">
        <v>85</v>
      </c>
      <c r="C59" s="307" t="s">
        <v>95</v>
      </c>
      <c r="D59" s="128"/>
      <c r="E59" s="128">
        <v>-33963</v>
      </c>
      <c r="F59" s="128">
        <v>-9400</v>
      </c>
      <c r="G59" s="128">
        <v>-229937</v>
      </c>
      <c r="H59" s="128"/>
      <c r="I59" s="128"/>
      <c r="J59" s="128"/>
      <c r="K59" s="128"/>
      <c r="L59" s="128"/>
      <c r="M59" s="126">
        <f t="shared" si="5"/>
        <v>-273300</v>
      </c>
      <c r="N59" s="126">
        <f t="shared" si="6"/>
        <v>0</v>
      </c>
      <c r="O59" s="124">
        <f t="shared" si="7"/>
        <v>-273300</v>
      </c>
      <c r="P59" s="128"/>
      <c r="Q59" s="128"/>
      <c r="R59" s="128"/>
      <c r="S59" s="128">
        <v>-94803</v>
      </c>
      <c r="T59" s="128"/>
      <c r="U59" s="128">
        <v>-178497</v>
      </c>
      <c r="V59" s="306"/>
    </row>
    <row r="60" spans="2:22" s="99" customFormat="1" ht="38.25">
      <c r="B60" s="286" t="s">
        <v>81</v>
      </c>
      <c r="C60" s="307" t="s">
        <v>95</v>
      </c>
      <c r="D60" s="128">
        <v>-49</v>
      </c>
      <c r="E60" s="128">
        <v>-28331</v>
      </c>
      <c r="F60" s="128">
        <v>-7650</v>
      </c>
      <c r="G60" s="128">
        <v>-50301</v>
      </c>
      <c r="H60" s="128">
        <v>-3960</v>
      </c>
      <c r="I60" s="128"/>
      <c r="J60" s="128"/>
      <c r="K60" s="128"/>
      <c r="L60" s="128"/>
      <c r="M60" s="126">
        <f t="shared" si="5"/>
        <v>-90242</v>
      </c>
      <c r="N60" s="126">
        <f t="shared" si="6"/>
        <v>-90242</v>
      </c>
      <c r="O60" s="124">
        <f t="shared" si="7"/>
        <v>0</v>
      </c>
      <c r="P60" s="128"/>
      <c r="Q60" s="128"/>
      <c r="R60" s="128"/>
      <c r="S60" s="128"/>
      <c r="T60" s="128"/>
      <c r="U60" s="128"/>
      <c r="V60" s="306"/>
    </row>
    <row r="61" spans="2:22" s="99" customFormat="1" hidden="1">
      <c r="B61" s="286"/>
      <c r="C61" s="307"/>
      <c r="D61" s="128"/>
      <c r="E61" s="128"/>
      <c r="F61" s="128"/>
      <c r="G61" s="128"/>
      <c r="H61" s="128"/>
      <c r="I61" s="128"/>
      <c r="J61" s="128"/>
      <c r="K61" s="128"/>
      <c r="L61" s="128"/>
      <c r="M61" s="126">
        <f t="shared" si="5"/>
        <v>0</v>
      </c>
      <c r="N61" s="126">
        <f t="shared" si="6"/>
        <v>0</v>
      </c>
      <c r="O61" s="124">
        <f t="shared" si="7"/>
        <v>0</v>
      </c>
      <c r="P61" s="128"/>
      <c r="Q61" s="128"/>
      <c r="R61" s="128"/>
      <c r="S61" s="128"/>
      <c r="T61" s="128"/>
      <c r="U61" s="128"/>
      <c r="V61" s="306"/>
    </row>
    <row r="62" spans="2:22" s="99" customFormat="1" hidden="1">
      <c r="B62" s="286"/>
      <c r="C62" s="307"/>
      <c r="D62" s="128"/>
      <c r="E62" s="128"/>
      <c r="F62" s="128"/>
      <c r="G62" s="128"/>
      <c r="H62" s="128"/>
      <c r="I62" s="128"/>
      <c r="J62" s="128"/>
      <c r="K62" s="128"/>
      <c r="L62" s="128"/>
      <c r="M62" s="126">
        <f t="shared" si="5"/>
        <v>0</v>
      </c>
      <c r="N62" s="126">
        <f t="shared" si="6"/>
        <v>0</v>
      </c>
      <c r="O62" s="124">
        <f t="shared" si="7"/>
        <v>0</v>
      </c>
      <c r="P62" s="128"/>
      <c r="Q62" s="128"/>
      <c r="R62" s="128"/>
      <c r="S62" s="128"/>
      <c r="T62" s="128"/>
      <c r="U62" s="128"/>
      <c r="V62" s="306"/>
    </row>
    <row r="63" spans="2:22" s="99" customFormat="1" hidden="1">
      <c r="B63" s="286"/>
      <c r="C63" s="307"/>
      <c r="D63" s="128"/>
      <c r="E63" s="128"/>
      <c r="F63" s="128"/>
      <c r="G63" s="128"/>
      <c r="H63" s="128"/>
      <c r="I63" s="128"/>
      <c r="J63" s="128"/>
      <c r="K63" s="128"/>
      <c r="L63" s="128"/>
      <c r="M63" s="126">
        <f t="shared" si="5"/>
        <v>0</v>
      </c>
      <c r="N63" s="126">
        <f t="shared" si="6"/>
        <v>0</v>
      </c>
      <c r="O63" s="124">
        <f t="shared" si="7"/>
        <v>0</v>
      </c>
      <c r="P63" s="128"/>
      <c r="Q63" s="128"/>
      <c r="R63" s="128"/>
      <c r="S63" s="128"/>
      <c r="T63" s="128"/>
      <c r="U63" s="128"/>
      <c r="V63" s="306"/>
    </row>
    <row r="64" spans="2:22" s="99" customFormat="1" hidden="1">
      <c r="B64" s="286"/>
      <c r="C64" s="307"/>
      <c r="D64" s="128"/>
      <c r="E64" s="128"/>
      <c r="F64" s="128"/>
      <c r="G64" s="128"/>
      <c r="H64" s="128"/>
      <c r="I64" s="128"/>
      <c r="J64" s="128"/>
      <c r="K64" s="128"/>
      <c r="L64" s="128"/>
      <c r="M64" s="126">
        <f t="shared" si="5"/>
        <v>0</v>
      </c>
      <c r="N64" s="126">
        <f t="shared" si="6"/>
        <v>0</v>
      </c>
      <c r="O64" s="124">
        <f t="shared" si="7"/>
        <v>0</v>
      </c>
      <c r="P64" s="128"/>
      <c r="Q64" s="128"/>
      <c r="R64" s="128"/>
      <c r="S64" s="128"/>
      <c r="T64" s="128"/>
      <c r="U64" s="128"/>
      <c r="V64" s="306"/>
    </row>
    <row r="65" spans="2:22" s="99" customFormat="1" hidden="1">
      <c r="B65" s="286"/>
      <c r="C65" s="307"/>
      <c r="D65" s="128"/>
      <c r="E65" s="128"/>
      <c r="F65" s="128"/>
      <c r="G65" s="128"/>
      <c r="H65" s="128"/>
      <c r="I65" s="128"/>
      <c r="J65" s="128"/>
      <c r="K65" s="128"/>
      <c r="L65" s="128"/>
      <c r="M65" s="126">
        <f t="shared" si="5"/>
        <v>0</v>
      </c>
      <c r="N65" s="126">
        <f t="shared" si="6"/>
        <v>0</v>
      </c>
      <c r="O65" s="124">
        <f t="shared" si="7"/>
        <v>0</v>
      </c>
      <c r="P65" s="128"/>
      <c r="Q65" s="128"/>
      <c r="R65" s="128"/>
      <c r="S65" s="128"/>
      <c r="T65" s="128"/>
      <c r="U65" s="128"/>
      <c r="V65" s="306"/>
    </row>
    <row r="66" spans="2:22" s="99" customFormat="1" hidden="1">
      <c r="B66" s="286"/>
      <c r="C66" s="307"/>
      <c r="D66" s="128"/>
      <c r="E66" s="128"/>
      <c r="F66" s="128"/>
      <c r="G66" s="128"/>
      <c r="H66" s="128"/>
      <c r="I66" s="128"/>
      <c r="J66" s="128"/>
      <c r="K66" s="128"/>
      <c r="L66" s="128"/>
      <c r="M66" s="126">
        <f t="shared" si="5"/>
        <v>0</v>
      </c>
      <c r="N66" s="126">
        <f t="shared" si="6"/>
        <v>0</v>
      </c>
      <c r="O66" s="124">
        <f t="shared" si="7"/>
        <v>0</v>
      </c>
      <c r="P66" s="128"/>
      <c r="Q66" s="128"/>
      <c r="R66" s="128"/>
      <c r="S66" s="128"/>
      <c r="T66" s="128"/>
      <c r="U66" s="128"/>
      <c r="V66" s="306"/>
    </row>
    <row r="67" spans="2:22" s="99" customFormat="1" hidden="1">
      <c r="B67" s="286"/>
      <c r="C67" s="307"/>
      <c r="D67" s="128"/>
      <c r="E67" s="128"/>
      <c r="F67" s="128"/>
      <c r="G67" s="128"/>
      <c r="H67" s="128"/>
      <c r="I67" s="128"/>
      <c r="J67" s="128"/>
      <c r="K67" s="128"/>
      <c r="L67" s="128"/>
      <c r="M67" s="126">
        <f t="shared" si="5"/>
        <v>0</v>
      </c>
      <c r="N67" s="126">
        <f t="shared" si="6"/>
        <v>0</v>
      </c>
      <c r="O67" s="124">
        <f t="shared" si="7"/>
        <v>0</v>
      </c>
      <c r="P67" s="128"/>
      <c r="Q67" s="128"/>
      <c r="R67" s="128"/>
      <c r="S67" s="128"/>
      <c r="T67" s="128"/>
      <c r="U67" s="128"/>
      <c r="V67" s="306"/>
    </row>
    <row r="68" spans="2:22" s="99" customFormat="1" hidden="1">
      <c r="B68" s="286"/>
      <c r="C68" s="307"/>
      <c r="D68" s="128"/>
      <c r="E68" s="128"/>
      <c r="F68" s="128"/>
      <c r="G68" s="128"/>
      <c r="H68" s="128"/>
      <c r="I68" s="128"/>
      <c r="J68" s="128"/>
      <c r="K68" s="128"/>
      <c r="L68" s="128"/>
      <c r="M68" s="126">
        <f t="shared" si="5"/>
        <v>0</v>
      </c>
      <c r="N68" s="126">
        <f t="shared" si="6"/>
        <v>0</v>
      </c>
      <c r="O68" s="124">
        <f t="shared" si="7"/>
        <v>0</v>
      </c>
      <c r="P68" s="128"/>
      <c r="Q68" s="128"/>
      <c r="R68" s="128"/>
      <c r="S68" s="128"/>
      <c r="T68" s="128"/>
      <c r="U68" s="128"/>
      <c r="V68" s="306"/>
    </row>
    <row r="69" spans="2:22" s="99" customFormat="1" hidden="1">
      <c r="B69" s="286"/>
      <c r="C69" s="307"/>
      <c r="D69" s="128"/>
      <c r="E69" s="128"/>
      <c r="F69" s="128"/>
      <c r="G69" s="128"/>
      <c r="H69" s="128"/>
      <c r="I69" s="128"/>
      <c r="J69" s="128"/>
      <c r="K69" s="128"/>
      <c r="L69" s="128"/>
      <c r="M69" s="126">
        <f t="shared" si="5"/>
        <v>0</v>
      </c>
      <c r="N69" s="126">
        <f t="shared" si="6"/>
        <v>0</v>
      </c>
      <c r="O69" s="124">
        <f t="shared" si="7"/>
        <v>0</v>
      </c>
      <c r="P69" s="128"/>
      <c r="Q69" s="128"/>
      <c r="R69" s="128"/>
      <c r="S69" s="128"/>
      <c r="T69" s="128"/>
      <c r="U69" s="128"/>
      <c r="V69" s="306"/>
    </row>
    <row r="70" spans="2:22" s="99" customFormat="1" hidden="1">
      <c r="B70" s="286"/>
      <c r="C70" s="307"/>
      <c r="D70" s="128"/>
      <c r="E70" s="128"/>
      <c r="F70" s="128"/>
      <c r="G70" s="128"/>
      <c r="H70" s="128"/>
      <c r="I70" s="128"/>
      <c r="J70" s="128"/>
      <c r="K70" s="128"/>
      <c r="L70" s="128"/>
      <c r="M70" s="126">
        <f t="shared" si="5"/>
        <v>0</v>
      </c>
      <c r="N70" s="126">
        <f t="shared" si="6"/>
        <v>0</v>
      </c>
      <c r="O70" s="124">
        <f t="shared" si="7"/>
        <v>0</v>
      </c>
      <c r="P70" s="128"/>
      <c r="Q70" s="128"/>
      <c r="R70" s="128"/>
      <c r="S70" s="128"/>
      <c r="T70" s="128"/>
      <c r="U70" s="128"/>
      <c r="V70" s="306"/>
    </row>
    <row r="71" spans="2:22" s="99" customFormat="1" hidden="1">
      <c r="B71" s="286"/>
      <c r="C71" s="307"/>
      <c r="D71" s="128"/>
      <c r="E71" s="128"/>
      <c r="F71" s="128"/>
      <c r="G71" s="128"/>
      <c r="H71" s="128"/>
      <c r="I71" s="128"/>
      <c r="J71" s="128"/>
      <c r="K71" s="128"/>
      <c r="L71" s="128"/>
      <c r="M71" s="126">
        <f t="shared" si="5"/>
        <v>0</v>
      </c>
      <c r="N71" s="126">
        <f t="shared" si="6"/>
        <v>0</v>
      </c>
      <c r="O71" s="124">
        <f t="shared" si="7"/>
        <v>0</v>
      </c>
      <c r="P71" s="128"/>
      <c r="Q71" s="128"/>
      <c r="R71" s="128"/>
      <c r="S71" s="128"/>
      <c r="T71" s="128"/>
      <c r="U71" s="128"/>
      <c r="V71" s="306"/>
    </row>
    <row r="72" spans="2:22" s="99" customFormat="1" hidden="1">
      <c r="B72" s="286"/>
      <c r="C72" s="307"/>
      <c r="D72" s="128"/>
      <c r="E72" s="128"/>
      <c r="F72" s="128"/>
      <c r="G72" s="128"/>
      <c r="H72" s="128"/>
      <c r="I72" s="128"/>
      <c r="J72" s="128"/>
      <c r="K72" s="128"/>
      <c r="L72" s="128"/>
      <c r="M72" s="126">
        <f t="shared" si="5"/>
        <v>0</v>
      </c>
      <c r="N72" s="126">
        <f t="shared" si="6"/>
        <v>0</v>
      </c>
      <c r="O72" s="124">
        <f t="shared" si="7"/>
        <v>0</v>
      </c>
      <c r="P72" s="128"/>
      <c r="Q72" s="128"/>
      <c r="R72" s="128"/>
      <c r="S72" s="128"/>
      <c r="T72" s="128"/>
      <c r="U72" s="128"/>
      <c r="V72" s="306"/>
    </row>
    <row r="73" spans="2:22" s="99" customFormat="1" hidden="1">
      <c r="B73" s="286"/>
      <c r="C73" s="307"/>
      <c r="D73" s="128"/>
      <c r="E73" s="128"/>
      <c r="F73" s="128"/>
      <c r="G73" s="128"/>
      <c r="H73" s="128"/>
      <c r="I73" s="128"/>
      <c r="J73" s="128"/>
      <c r="K73" s="128"/>
      <c r="L73" s="128"/>
      <c r="M73" s="126">
        <f t="shared" si="5"/>
        <v>0</v>
      </c>
      <c r="N73" s="126">
        <f t="shared" si="6"/>
        <v>0</v>
      </c>
      <c r="O73" s="124">
        <f t="shared" si="7"/>
        <v>0</v>
      </c>
      <c r="P73" s="128"/>
      <c r="Q73" s="128"/>
      <c r="R73" s="128"/>
      <c r="S73" s="128"/>
      <c r="T73" s="128"/>
      <c r="U73" s="128"/>
      <c r="V73" s="306"/>
    </row>
    <row r="74" spans="2:22" s="99" customFormat="1" hidden="1">
      <c r="B74" s="286"/>
      <c r="C74" s="307"/>
      <c r="D74" s="128"/>
      <c r="E74" s="128"/>
      <c r="F74" s="128"/>
      <c r="G74" s="128"/>
      <c r="H74" s="128"/>
      <c r="I74" s="128"/>
      <c r="J74" s="128"/>
      <c r="K74" s="128"/>
      <c r="L74" s="128"/>
      <c r="M74" s="126">
        <f t="shared" si="5"/>
        <v>0</v>
      </c>
      <c r="N74" s="126">
        <f t="shared" si="6"/>
        <v>0</v>
      </c>
      <c r="O74" s="124">
        <f t="shared" si="7"/>
        <v>0</v>
      </c>
      <c r="P74" s="128"/>
      <c r="Q74" s="128"/>
      <c r="R74" s="128"/>
      <c r="S74" s="128"/>
      <c r="T74" s="128"/>
      <c r="U74" s="128"/>
      <c r="V74" s="306"/>
    </row>
    <row r="75" spans="2:22" s="99" customFormat="1" hidden="1">
      <c r="B75" s="286"/>
      <c r="C75" s="307"/>
      <c r="D75" s="128"/>
      <c r="E75" s="128"/>
      <c r="F75" s="128"/>
      <c r="G75" s="128"/>
      <c r="H75" s="128"/>
      <c r="I75" s="128"/>
      <c r="J75" s="128"/>
      <c r="K75" s="128"/>
      <c r="L75" s="128"/>
      <c r="M75" s="126">
        <f t="shared" si="5"/>
        <v>0</v>
      </c>
      <c r="N75" s="126">
        <f t="shared" si="6"/>
        <v>0</v>
      </c>
      <c r="O75" s="124">
        <f t="shared" si="7"/>
        <v>0</v>
      </c>
      <c r="P75" s="128"/>
      <c r="Q75" s="128"/>
      <c r="R75" s="128"/>
      <c r="S75" s="128"/>
      <c r="T75" s="128"/>
      <c r="U75" s="128"/>
      <c r="V75" s="306"/>
    </row>
    <row r="76" spans="2:22" s="99" customFormat="1" hidden="1">
      <c r="B76" s="286"/>
      <c r="C76" s="307"/>
      <c r="D76" s="128"/>
      <c r="E76" s="128"/>
      <c r="F76" s="128"/>
      <c r="G76" s="128"/>
      <c r="H76" s="128"/>
      <c r="I76" s="128"/>
      <c r="J76" s="128"/>
      <c r="K76" s="128"/>
      <c r="L76" s="128"/>
      <c r="M76" s="126">
        <f t="shared" si="5"/>
        <v>0</v>
      </c>
      <c r="N76" s="126">
        <f t="shared" si="6"/>
        <v>0</v>
      </c>
      <c r="O76" s="124">
        <f t="shared" si="7"/>
        <v>0</v>
      </c>
      <c r="P76" s="128"/>
      <c r="Q76" s="128"/>
      <c r="R76" s="128"/>
      <c r="S76" s="128"/>
      <c r="T76" s="128"/>
      <c r="U76" s="128"/>
      <c r="V76" s="306"/>
    </row>
    <row r="77" spans="2:22" s="99" customFormat="1" hidden="1">
      <c r="B77" s="286"/>
      <c r="C77" s="307"/>
      <c r="D77" s="128"/>
      <c r="E77" s="128"/>
      <c r="F77" s="128"/>
      <c r="G77" s="128"/>
      <c r="H77" s="128"/>
      <c r="I77" s="128"/>
      <c r="J77" s="128"/>
      <c r="K77" s="128"/>
      <c r="L77" s="128"/>
      <c r="M77" s="126">
        <f t="shared" si="5"/>
        <v>0</v>
      </c>
      <c r="N77" s="126">
        <f t="shared" si="6"/>
        <v>0</v>
      </c>
      <c r="O77" s="124">
        <f t="shared" si="7"/>
        <v>0</v>
      </c>
      <c r="P77" s="128"/>
      <c r="Q77" s="128"/>
      <c r="R77" s="128"/>
      <c r="S77" s="128"/>
      <c r="T77" s="128"/>
      <c r="U77" s="128"/>
      <c r="V77" s="306"/>
    </row>
    <row r="78" spans="2:22" s="99" customFormat="1" hidden="1">
      <c r="B78" s="286"/>
      <c r="C78" s="307"/>
      <c r="D78" s="128"/>
      <c r="E78" s="128"/>
      <c r="F78" s="128"/>
      <c r="G78" s="128"/>
      <c r="H78" s="128"/>
      <c r="I78" s="128"/>
      <c r="J78" s="128"/>
      <c r="K78" s="128"/>
      <c r="L78" s="128"/>
      <c r="M78" s="126">
        <f t="shared" si="5"/>
        <v>0</v>
      </c>
      <c r="N78" s="126">
        <f t="shared" si="6"/>
        <v>0</v>
      </c>
      <c r="O78" s="124">
        <f t="shared" si="7"/>
        <v>0</v>
      </c>
      <c r="P78" s="128"/>
      <c r="Q78" s="128"/>
      <c r="R78" s="128"/>
      <c r="S78" s="128"/>
      <c r="T78" s="128"/>
      <c r="U78" s="128"/>
      <c r="V78" s="306"/>
    </row>
    <row r="79" spans="2:22" s="99" customFormat="1" hidden="1">
      <c r="B79" s="286"/>
      <c r="C79" s="307"/>
      <c r="D79" s="128"/>
      <c r="E79" s="128"/>
      <c r="F79" s="128"/>
      <c r="G79" s="128"/>
      <c r="H79" s="128"/>
      <c r="I79" s="128"/>
      <c r="J79" s="128"/>
      <c r="K79" s="128"/>
      <c r="L79" s="128"/>
      <c r="M79" s="126">
        <f t="shared" si="5"/>
        <v>0</v>
      </c>
      <c r="N79" s="126">
        <f t="shared" si="6"/>
        <v>0</v>
      </c>
      <c r="O79" s="124">
        <f t="shared" si="7"/>
        <v>0</v>
      </c>
      <c r="P79" s="128"/>
      <c r="Q79" s="128"/>
      <c r="R79" s="128"/>
      <c r="S79" s="128"/>
      <c r="T79" s="128"/>
      <c r="U79" s="128"/>
      <c r="V79" s="306"/>
    </row>
    <row r="80" spans="2:22" s="99" customFormat="1" hidden="1">
      <c r="B80" s="286"/>
      <c r="C80" s="307"/>
      <c r="D80" s="128"/>
      <c r="E80" s="128"/>
      <c r="F80" s="128"/>
      <c r="G80" s="128"/>
      <c r="H80" s="128"/>
      <c r="I80" s="128"/>
      <c r="J80" s="128"/>
      <c r="K80" s="128"/>
      <c r="L80" s="128"/>
      <c r="M80" s="126">
        <f t="shared" si="5"/>
        <v>0</v>
      </c>
      <c r="N80" s="126">
        <f t="shared" si="6"/>
        <v>0</v>
      </c>
      <c r="O80" s="124">
        <f t="shared" si="7"/>
        <v>0</v>
      </c>
      <c r="P80" s="128"/>
      <c r="Q80" s="128"/>
      <c r="R80" s="128"/>
      <c r="S80" s="128"/>
      <c r="T80" s="128"/>
      <c r="U80" s="128"/>
      <c r="V80" s="306"/>
    </row>
    <row r="81" spans="2:22" s="99" customFormat="1" hidden="1">
      <c r="B81" s="286"/>
      <c r="C81" s="307"/>
      <c r="D81" s="128"/>
      <c r="E81" s="128"/>
      <c r="F81" s="128"/>
      <c r="G81" s="128"/>
      <c r="H81" s="128"/>
      <c r="I81" s="128"/>
      <c r="J81" s="128"/>
      <c r="K81" s="128"/>
      <c r="L81" s="128"/>
      <c r="M81" s="126">
        <f t="shared" si="5"/>
        <v>0</v>
      </c>
      <c r="N81" s="126">
        <f t="shared" si="6"/>
        <v>0</v>
      </c>
      <c r="O81" s="124">
        <f t="shared" si="7"/>
        <v>0</v>
      </c>
      <c r="P81" s="128"/>
      <c r="Q81" s="128"/>
      <c r="R81" s="128"/>
      <c r="S81" s="128"/>
      <c r="T81" s="128"/>
      <c r="U81" s="128"/>
      <c r="V81" s="306"/>
    </row>
    <row r="82" spans="2:22" s="99" customFormat="1" hidden="1">
      <c r="B82" s="286"/>
      <c r="C82" s="307"/>
      <c r="D82" s="128"/>
      <c r="E82" s="128"/>
      <c r="F82" s="128"/>
      <c r="G82" s="128"/>
      <c r="H82" s="128"/>
      <c r="I82" s="128"/>
      <c r="J82" s="128"/>
      <c r="K82" s="128"/>
      <c r="L82" s="128"/>
      <c r="M82" s="126">
        <f t="shared" ref="M82:M101" si="8">SUM(E82:L82)</f>
        <v>0</v>
      </c>
      <c r="N82" s="126">
        <f t="shared" ref="N82:N101" si="9">+M82-O82</f>
        <v>0</v>
      </c>
      <c r="O82" s="124">
        <f t="shared" ref="O82:O101" si="10">SUM(P82:V82)</f>
        <v>0</v>
      </c>
      <c r="P82" s="128"/>
      <c r="Q82" s="128"/>
      <c r="R82" s="128"/>
      <c r="S82" s="128"/>
      <c r="T82" s="128"/>
      <c r="U82" s="128"/>
      <c r="V82" s="306"/>
    </row>
    <row r="83" spans="2:22" s="99" customFormat="1" hidden="1">
      <c r="B83" s="286"/>
      <c r="C83" s="307"/>
      <c r="D83" s="128"/>
      <c r="E83" s="128"/>
      <c r="F83" s="128"/>
      <c r="G83" s="128"/>
      <c r="H83" s="128"/>
      <c r="I83" s="128"/>
      <c r="J83" s="128"/>
      <c r="K83" s="128"/>
      <c r="L83" s="128"/>
      <c r="M83" s="126">
        <f t="shared" si="8"/>
        <v>0</v>
      </c>
      <c r="N83" s="126">
        <f t="shared" si="9"/>
        <v>0</v>
      </c>
      <c r="O83" s="124">
        <f t="shared" si="10"/>
        <v>0</v>
      </c>
      <c r="P83" s="128"/>
      <c r="Q83" s="128"/>
      <c r="R83" s="128"/>
      <c r="S83" s="128"/>
      <c r="T83" s="128"/>
      <c r="U83" s="128"/>
      <c r="V83" s="306"/>
    </row>
    <row r="84" spans="2:22" s="99" customFormat="1" hidden="1">
      <c r="B84" s="286"/>
      <c r="C84" s="307"/>
      <c r="D84" s="128"/>
      <c r="E84" s="128"/>
      <c r="F84" s="128"/>
      <c r="G84" s="128"/>
      <c r="H84" s="128"/>
      <c r="I84" s="128"/>
      <c r="J84" s="128"/>
      <c r="K84" s="128"/>
      <c r="L84" s="128"/>
      <c r="M84" s="126">
        <f t="shared" si="8"/>
        <v>0</v>
      </c>
      <c r="N84" s="126">
        <f t="shared" si="9"/>
        <v>0</v>
      </c>
      <c r="O84" s="124">
        <f t="shared" si="10"/>
        <v>0</v>
      </c>
      <c r="P84" s="128"/>
      <c r="Q84" s="128"/>
      <c r="R84" s="128"/>
      <c r="S84" s="128"/>
      <c r="T84" s="128"/>
      <c r="U84" s="128"/>
      <c r="V84" s="306"/>
    </row>
    <row r="85" spans="2:22" s="99" customFormat="1" hidden="1">
      <c r="B85" s="286"/>
      <c r="C85" s="307"/>
      <c r="D85" s="128"/>
      <c r="E85" s="128"/>
      <c r="F85" s="128"/>
      <c r="G85" s="128"/>
      <c r="H85" s="128"/>
      <c r="I85" s="128"/>
      <c r="J85" s="128"/>
      <c r="K85" s="128"/>
      <c r="L85" s="128"/>
      <c r="M85" s="126">
        <f t="shared" si="8"/>
        <v>0</v>
      </c>
      <c r="N85" s="126">
        <f t="shared" si="9"/>
        <v>0</v>
      </c>
      <c r="O85" s="124">
        <f t="shared" si="10"/>
        <v>0</v>
      </c>
      <c r="P85" s="128"/>
      <c r="Q85" s="128"/>
      <c r="R85" s="128"/>
      <c r="S85" s="128"/>
      <c r="T85" s="128"/>
      <c r="U85" s="128"/>
      <c r="V85" s="306"/>
    </row>
    <row r="86" spans="2:22" s="99" customFormat="1" hidden="1">
      <c r="B86" s="286"/>
      <c r="C86" s="307"/>
      <c r="D86" s="128"/>
      <c r="E86" s="128"/>
      <c r="F86" s="128"/>
      <c r="G86" s="128"/>
      <c r="H86" s="128"/>
      <c r="I86" s="128"/>
      <c r="J86" s="128"/>
      <c r="K86" s="128"/>
      <c r="L86" s="128"/>
      <c r="M86" s="126">
        <f t="shared" si="8"/>
        <v>0</v>
      </c>
      <c r="N86" s="126">
        <f t="shared" si="9"/>
        <v>0</v>
      </c>
      <c r="O86" s="124">
        <f t="shared" si="10"/>
        <v>0</v>
      </c>
      <c r="P86" s="128"/>
      <c r="Q86" s="128"/>
      <c r="R86" s="128"/>
      <c r="S86" s="128"/>
      <c r="T86" s="128"/>
      <c r="U86" s="128"/>
      <c r="V86" s="306"/>
    </row>
    <row r="87" spans="2:22" s="99" customFormat="1" hidden="1">
      <c r="B87" s="286"/>
      <c r="C87" s="307"/>
      <c r="D87" s="128"/>
      <c r="E87" s="128"/>
      <c r="F87" s="128"/>
      <c r="G87" s="128"/>
      <c r="H87" s="128"/>
      <c r="I87" s="128"/>
      <c r="J87" s="128"/>
      <c r="K87" s="128"/>
      <c r="L87" s="128"/>
      <c r="M87" s="126">
        <f t="shared" si="8"/>
        <v>0</v>
      </c>
      <c r="N87" s="126">
        <f t="shared" si="9"/>
        <v>0</v>
      </c>
      <c r="O87" s="124">
        <f t="shared" si="10"/>
        <v>0</v>
      </c>
      <c r="P87" s="128"/>
      <c r="Q87" s="128"/>
      <c r="R87" s="128"/>
      <c r="S87" s="128"/>
      <c r="T87" s="128"/>
      <c r="U87" s="128"/>
      <c r="V87" s="306"/>
    </row>
    <row r="88" spans="2:22" s="99" customFormat="1" hidden="1">
      <c r="B88" s="286"/>
      <c r="C88" s="307"/>
      <c r="D88" s="128"/>
      <c r="E88" s="128"/>
      <c r="F88" s="128"/>
      <c r="G88" s="128"/>
      <c r="H88" s="128"/>
      <c r="I88" s="128"/>
      <c r="J88" s="128"/>
      <c r="K88" s="128"/>
      <c r="L88" s="128"/>
      <c r="M88" s="126">
        <f t="shared" si="8"/>
        <v>0</v>
      </c>
      <c r="N88" s="126">
        <f t="shared" si="9"/>
        <v>0</v>
      </c>
      <c r="O88" s="124">
        <f t="shared" si="10"/>
        <v>0</v>
      </c>
      <c r="P88" s="128"/>
      <c r="Q88" s="128"/>
      <c r="R88" s="128"/>
      <c r="S88" s="128"/>
      <c r="T88" s="128"/>
      <c r="U88" s="128"/>
      <c r="V88" s="306"/>
    </row>
    <row r="89" spans="2:22" s="99" customFormat="1" hidden="1">
      <c r="B89" s="286"/>
      <c r="C89" s="307"/>
      <c r="D89" s="128"/>
      <c r="E89" s="128"/>
      <c r="F89" s="128"/>
      <c r="G89" s="128"/>
      <c r="H89" s="128"/>
      <c r="I89" s="128"/>
      <c r="J89" s="128"/>
      <c r="K89" s="128"/>
      <c r="L89" s="128"/>
      <c r="M89" s="126">
        <f t="shared" si="8"/>
        <v>0</v>
      </c>
      <c r="N89" s="126">
        <f t="shared" si="9"/>
        <v>0</v>
      </c>
      <c r="O89" s="124">
        <f t="shared" si="10"/>
        <v>0</v>
      </c>
      <c r="P89" s="128"/>
      <c r="Q89" s="128"/>
      <c r="R89" s="128"/>
      <c r="S89" s="128"/>
      <c r="T89" s="128"/>
      <c r="U89" s="128"/>
      <c r="V89" s="306"/>
    </row>
    <row r="90" spans="2:22" s="99" customFormat="1" hidden="1">
      <c r="B90" s="286"/>
      <c r="C90" s="307"/>
      <c r="D90" s="128"/>
      <c r="E90" s="128"/>
      <c r="F90" s="128"/>
      <c r="G90" s="128"/>
      <c r="H90" s="128"/>
      <c r="I90" s="128"/>
      <c r="J90" s="128"/>
      <c r="K90" s="128"/>
      <c r="L90" s="128"/>
      <c r="M90" s="126">
        <f t="shared" si="8"/>
        <v>0</v>
      </c>
      <c r="N90" s="126">
        <f t="shared" si="9"/>
        <v>0</v>
      </c>
      <c r="O90" s="124">
        <f t="shared" si="10"/>
        <v>0</v>
      </c>
      <c r="P90" s="128"/>
      <c r="Q90" s="128"/>
      <c r="R90" s="128"/>
      <c r="S90" s="128"/>
      <c r="T90" s="128"/>
      <c r="U90" s="128"/>
      <c r="V90" s="306"/>
    </row>
    <row r="91" spans="2:22" s="99" customFormat="1" hidden="1">
      <c r="B91" s="286"/>
      <c r="C91" s="307"/>
      <c r="D91" s="128"/>
      <c r="E91" s="128"/>
      <c r="F91" s="128"/>
      <c r="G91" s="128"/>
      <c r="H91" s="128"/>
      <c r="I91" s="128"/>
      <c r="J91" s="128"/>
      <c r="K91" s="128"/>
      <c r="L91" s="128"/>
      <c r="M91" s="126">
        <f t="shared" si="8"/>
        <v>0</v>
      </c>
      <c r="N91" s="126">
        <f t="shared" si="9"/>
        <v>0</v>
      </c>
      <c r="O91" s="124">
        <f t="shared" si="10"/>
        <v>0</v>
      </c>
      <c r="P91" s="128"/>
      <c r="Q91" s="128"/>
      <c r="R91" s="128"/>
      <c r="S91" s="128"/>
      <c r="T91" s="128"/>
      <c r="U91" s="128"/>
      <c r="V91" s="306"/>
    </row>
    <row r="92" spans="2:22" s="99" customFormat="1" hidden="1">
      <c r="B92" s="286"/>
      <c r="C92" s="307"/>
      <c r="D92" s="128"/>
      <c r="E92" s="128"/>
      <c r="F92" s="128"/>
      <c r="G92" s="128"/>
      <c r="H92" s="128"/>
      <c r="I92" s="128"/>
      <c r="J92" s="128"/>
      <c r="K92" s="128"/>
      <c r="L92" s="128"/>
      <c r="M92" s="126">
        <f t="shared" si="8"/>
        <v>0</v>
      </c>
      <c r="N92" s="126">
        <f t="shared" si="9"/>
        <v>0</v>
      </c>
      <c r="O92" s="124">
        <f t="shared" si="10"/>
        <v>0</v>
      </c>
      <c r="P92" s="128"/>
      <c r="Q92" s="128"/>
      <c r="R92" s="128"/>
      <c r="S92" s="128"/>
      <c r="T92" s="128"/>
      <c r="U92" s="128"/>
      <c r="V92" s="306"/>
    </row>
    <row r="93" spans="2:22" s="99" customFormat="1" hidden="1">
      <c r="B93" s="286"/>
      <c r="C93" s="307"/>
      <c r="D93" s="128"/>
      <c r="E93" s="128"/>
      <c r="F93" s="128"/>
      <c r="G93" s="128"/>
      <c r="H93" s="128"/>
      <c r="I93" s="128"/>
      <c r="J93" s="128"/>
      <c r="K93" s="128"/>
      <c r="L93" s="128"/>
      <c r="M93" s="126">
        <f t="shared" si="8"/>
        <v>0</v>
      </c>
      <c r="N93" s="126">
        <f t="shared" si="9"/>
        <v>0</v>
      </c>
      <c r="O93" s="124">
        <f t="shared" si="10"/>
        <v>0</v>
      </c>
      <c r="P93" s="128"/>
      <c r="Q93" s="128"/>
      <c r="R93" s="128"/>
      <c r="S93" s="128"/>
      <c r="T93" s="128"/>
      <c r="U93" s="128"/>
      <c r="V93" s="306"/>
    </row>
    <row r="94" spans="2:22" s="99" customFormat="1" hidden="1">
      <c r="B94" s="286"/>
      <c r="C94" s="307"/>
      <c r="D94" s="128"/>
      <c r="E94" s="128"/>
      <c r="F94" s="128"/>
      <c r="G94" s="128"/>
      <c r="H94" s="128"/>
      <c r="I94" s="128"/>
      <c r="J94" s="128"/>
      <c r="K94" s="128"/>
      <c r="L94" s="128"/>
      <c r="M94" s="126">
        <f t="shared" si="8"/>
        <v>0</v>
      </c>
      <c r="N94" s="126">
        <f t="shared" si="9"/>
        <v>0</v>
      </c>
      <c r="O94" s="124">
        <f t="shared" si="10"/>
        <v>0</v>
      </c>
      <c r="P94" s="128"/>
      <c r="Q94" s="128"/>
      <c r="R94" s="128"/>
      <c r="S94" s="128"/>
      <c r="T94" s="128"/>
      <c r="U94" s="128"/>
      <c r="V94" s="306"/>
    </row>
    <row r="95" spans="2:22" s="99" customFormat="1" hidden="1">
      <c r="B95" s="286"/>
      <c r="C95" s="307"/>
      <c r="D95" s="128"/>
      <c r="E95" s="128"/>
      <c r="F95" s="128"/>
      <c r="G95" s="128"/>
      <c r="H95" s="128"/>
      <c r="I95" s="128"/>
      <c r="J95" s="128"/>
      <c r="K95" s="128"/>
      <c r="L95" s="128"/>
      <c r="M95" s="126">
        <f t="shared" si="8"/>
        <v>0</v>
      </c>
      <c r="N95" s="126">
        <f t="shared" si="9"/>
        <v>0</v>
      </c>
      <c r="O95" s="124">
        <f t="shared" si="10"/>
        <v>0</v>
      </c>
      <c r="P95" s="128"/>
      <c r="Q95" s="128"/>
      <c r="R95" s="128"/>
      <c r="S95" s="128"/>
      <c r="T95" s="128"/>
      <c r="U95" s="128"/>
      <c r="V95" s="306"/>
    </row>
    <row r="96" spans="2:22" s="99" customFormat="1" hidden="1">
      <c r="B96" s="286"/>
      <c r="C96" s="307"/>
      <c r="D96" s="128"/>
      <c r="E96" s="128"/>
      <c r="F96" s="128"/>
      <c r="G96" s="128"/>
      <c r="H96" s="128"/>
      <c r="I96" s="128"/>
      <c r="J96" s="128"/>
      <c r="K96" s="128"/>
      <c r="L96" s="128"/>
      <c r="M96" s="126">
        <f t="shared" si="8"/>
        <v>0</v>
      </c>
      <c r="N96" s="126">
        <f t="shared" si="9"/>
        <v>0</v>
      </c>
      <c r="O96" s="124">
        <f t="shared" si="10"/>
        <v>0</v>
      </c>
      <c r="P96" s="128"/>
      <c r="Q96" s="128"/>
      <c r="R96" s="128"/>
      <c r="S96" s="128"/>
      <c r="T96" s="128"/>
      <c r="U96" s="128"/>
      <c r="V96" s="306"/>
    </row>
    <row r="97" spans="2:22" s="99" customFormat="1" hidden="1">
      <c r="B97" s="286"/>
      <c r="C97" s="307"/>
      <c r="D97" s="128"/>
      <c r="E97" s="128"/>
      <c r="F97" s="128"/>
      <c r="G97" s="128"/>
      <c r="H97" s="128"/>
      <c r="I97" s="128"/>
      <c r="J97" s="128"/>
      <c r="K97" s="128"/>
      <c r="L97" s="128"/>
      <c r="M97" s="126">
        <f t="shared" si="8"/>
        <v>0</v>
      </c>
      <c r="N97" s="126">
        <f t="shared" si="9"/>
        <v>0</v>
      </c>
      <c r="O97" s="124">
        <f t="shared" si="10"/>
        <v>0</v>
      </c>
      <c r="P97" s="128"/>
      <c r="Q97" s="128"/>
      <c r="R97" s="128"/>
      <c r="S97" s="128"/>
      <c r="T97" s="128"/>
      <c r="U97" s="128"/>
      <c r="V97" s="306"/>
    </row>
    <row r="98" spans="2:22" s="99" customFormat="1" hidden="1">
      <c r="B98" s="286"/>
      <c r="C98" s="307"/>
      <c r="D98" s="128"/>
      <c r="E98" s="128"/>
      <c r="F98" s="128"/>
      <c r="G98" s="128"/>
      <c r="H98" s="128"/>
      <c r="I98" s="128"/>
      <c r="J98" s="128"/>
      <c r="K98" s="128"/>
      <c r="L98" s="128"/>
      <c r="M98" s="126">
        <f t="shared" si="8"/>
        <v>0</v>
      </c>
      <c r="N98" s="126">
        <f t="shared" si="9"/>
        <v>0</v>
      </c>
      <c r="O98" s="124">
        <f t="shared" si="10"/>
        <v>0</v>
      </c>
      <c r="P98" s="128"/>
      <c r="Q98" s="128"/>
      <c r="R98" s="128"/>
      <c r="S98" s="128"/>
      <c r="T98" s="128"/>
      <c r="U98" s="128"/>
      <c r="V98" s="306"/>
    </row>
    <row r="99" spans="2:22" s="99" customFormat="1" hidden="1">
      <c r="B99" s="286"/>
      <c r="C99" s="307"/>
      <c r="D99" s="128"/>
      <c r="E99" s="128"/>
      <c r="F99" s="128"/>
      <c r="G99" s="128"/>
      <c r="H99" s="128"/>
      <c r="I99" s="128"/>
      <c r="J99" s="128"/>
      <c r="K99" s="128"/>
      <c r="L99" s="128"/>
      <c r="M99" s="126">
        <f t="shared" si="8"/>
        <v>0</v>
      </c>
      <c r="N99" s="126">
        <f t="shared" si="9"/>
        <v>0</v>
      </c>
      <c r="O99" s="124">
        <f t="shared" si="10"/>
        <v>0</v>
      </c>
      <c r="P99" s="128"/>
      <c r="Q99" s="128"/>
      <c r="R99" s="128"/>
      <c r="S99" s="128"/>
      <c r="T99" s="128"/>
      <c r="U99" s="128"/>
      <c r="V99" s="306"/>
    </row>
    <row r="100" spans="2:22" s="99" customFormat="1">
      <c r="B100" s="286"/>
      <c r="C100" s="30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6">
        <f t="shared" si="8"/>
        <v>0</v>
      </c>
      <c r="N100" s="126">
        <f t="shared" si="9"/>
        <v>0</v>
      </c>
      <c r="O100" s="124">
        <f t="shared" si="10"/>
        <v>0</v>
      </c>
      <c r="P100" s="128"/>
      <c r="Q100" s="128"/>
      <c r="R100" s="128"/>
      <c r="S100" s="128"/>
      <c r="T100" s="128"/>
      <c r="U100" s="128"/>
      <c r="V100" s="306"/>
    </row>
    <row r="101" spans="2:22" s="99" customFormat="1" ht="12.95" customHeight="1">
      <c r="B101" s="286" t="s">
        <v>81</v>
      </c>
      <c r="C101" s="308" t="s">
        <v>94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6">
        <f t="shared" si="8"/>
        <v>0</v>
      </c>
      <c r="N101" s="126">
        <f t="shared" si="9"/>
        <v>0</v>
      </c>
      <c r="O101" s="124">
        <f t="shared" si="10"/>
        <v>0</v>
      </c>
      <c r="P101" s="128"/>
      <c r="Q101" s="128"/>
      <c r="R101" s="128"/>
      <c r="S101" s="128"/>
      <c r="T101" s="128"/>
      <c r="U101" s="128"/>
      <c r="V101" s="306"/>
    </row>
    <row r="102" spans="2:22" s="99" customFormat="1" ht="12.95" customHeight="1">
      <c r="B102" s="284"/>
      <c r="C102" s="309" t="s">
        <v>93</v>
      </c>
      <c r="D102" s="127">
        <f t="shared" ref="D102:V102" si="11">SUM(D18:D101)</f>
        <v>-566</v>
      </c>
      <c r="E102" s="127">
        <f t="shared" si="11"/>
        <v>-1391760</v>
      </c>
      <c r="F102" s="127">
        <f t="shared" si="11"/>
        <v>-324714</v>
      </c>
      <c r="G102" s="127">
        <f t="shared" si="11"/>
        <v>-307841</v>
      </c>
      <c r="H102" s="127">
        <f t="shared" si="11"/>
        <v>28588</v>
      </c>
      <c r="I102" s="127">
        <f t="shared" si="11"/>
        <v>0</v>
      </c>
      <c r="J102" s="127">
        <f t="shared" si="11"/>
        <v>-115748</v>
      </c>
      <c r="K102" s="127">
        <f t="shared" si="11"/>
        <v>-6400</v>
      </c>
      <c r="L102" s="127">
        <f t="shared" si="11"/>
        <v>0</v>
      </c>
      <c r="M102" s="127">
        <f t="shared" si="11"/>
        <v>-2117875</v>
      </c>
      <c r="N102" s="127">
        <f t="shared" si="11"/>
        <v>-330943</v>
      </c>
      <c r="O102" s="127">
        <f t="shared" si="11"/>
        <v>-1786932</v>
      </c>
      <c r="P102" s="126">
        <f t="shared" si="11"/>
        <v>-57702</v>
      </c>
      <c r="Q102" s="127">
        <f t="shared" si="11"/>
        <v>0</v>
      </c>
      <c r="R102" s="127">
        <f t="shared" si="11"/>
        <v>0</v>
      </c>
      <c r="S102" s="127">
        <f t="shared" si="11"/>
        <v>-1547337</v>
      </c>
      <c r="T102" s="127">
        <f t="shared" si="11"/>
        <v>0</v>
      </c>
      <c r="U102" s="127">
        <f t="shared" si="11"/>
        <v>-181893</v>
      </c>
      <c r="V102" s="303">
        <f t="shared" si="11"/>
        <v>0</v>
      </c>
    </row>
    <row r="103" spans="2:22" s="105" customFormat="1" ht="12.95" customHeight="1">
      <c r="B103" s="287"/>
      <c r="C103" s="310" t="s">
        <v>92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26"/>
      <c r="N103" s="126"/>
      <c r="O103" s="126"/>
      <c r="P103" s="125"/>
      <c r="Q103" s="125"/>
      <c r="R103" s="125"/>
      <c r="S103" s="125"/>
      <c r="T103" s="125"/>
      <c r="U103" s="125"/>
      <c r="V103" s="300"/>
    </row>
    <row r="104" spans="2:22" s="105" customFormat="1" ht="25.5" hidden="1">
      <c r="B104" s="286" t="s">
        <v>81</v>
      </c>
      <c r="C104" s="307" t="s">
        <v>91</v>
      </c>
      <c r="D104" s="125"/>
      <c r="E104" s="125"/>
      <c r="F104" s="125"/>
      <c r="G104" s="125"/>
      <c r="H104" s="125"/>
      <c r="I104" s="125"/>
      <c r="J104" s="125"/>
      <c r="K104" s="125"/>
      <c r="L104" s="125"/>
      <c r="M104" s="126">
        <f t="shared" ref="M104:M111" si="12">SUM(E104:L104)</f>
        <v>0</v>
      </c>
      <c r="N104" s="126">
        <f t="shared" ref="N104:N111" si="13">+M104-O104</f>
        <v>0</v>
      </c>
      <c r="O104" s="124">
        <f t="shared" ref="O104:O111" si="14">SUM(P104:V104)</f>
        <v>0</v>
      </c>
      <c r="P104" s="125"/>
      <c r="Q104" s="125"/>
      <c r="R104" s="125"/>
      <c r="S104" s="125"/>
      <c r="T104" s="125"/>
      <c r="U104" s="125"/>
      <c r="V104" s="300"/>
    </row>
    <row r="105" spans="2:22" s="105" customFormat="1" ht="76.5" hidden="1">
      <c r="B105" s="287" t="s">
        <v>81</v>
      </c>
      <c r="C105" s="299" t="s">
        <v>90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6">
        <f t="shared" si="12"/>
        <v>0</v>
      </c>
      <c r="N105" s="126">
        <f t="shared" si="13"/>
        <v>0</v>
      </c>
      <c r="O105" s="124">
        <f t="shared" si="14"/>
        <v>0</v>
      </c>
      <c r="P105" s="125"/>
      <c r="Q105" s="125"/>
      <c r="R105" s="125"/>
      <c r="S105" s="125"/>
      <c r="T105" s="125"/>
      <c r="U105" s="125"/>
      <c r="V105" s="300"/>
    </row>
    <row r="106" spans="2:22" s="104" customFormat="1" ht="25.5">
      <c r="B106" s="286" t="s">
        <v>85</v>
      </c>
      <c r="C106" s="307" t="s">
        <v>89</v>
      </c>
      <c r="D106" s="128"/>
      <c r="E106" s="130">
        <v>-592581</v>
      </c>
      <c r="F106" s="128">
        <v>-160488</v>
      </c>
      <c r="G106" s="128">
        <v>-708695</v>
      </c>
      <c r="H106" s="128"/>
      <c r="I106" s="128"/>
      <c r="J106" s="128">
        <v>-45468</v>
      </c>
      <c r="K106" s="128">
        <v>-6400</v>
      </c>
      <c r="L106" s="128"/>
      <c r="M106" s="126">
        <f t="shared" si="12"/>
        <v>-1513632</v>
      </c>
      <c r="N106" s="126">
        <f t="shared" si="13"/>
        <v>0</v>
      </c>
      <c r="O106" s="124">
        <f t="shared" si="14"/>
        <v>-1513632</v>
      </c>
      <c r="P106" s="128">
        <v>-57702</v>
      </c>
      <c r="Q106" s="128"/>
      <c r="R106" s="128"/>
      <c r="S106" s="128">
        <v>-1452534</v>
      </c>
      <c r="T106" s="128"/>
      <c r="U106" s="128">
        <v>-3396</v>
      </c>
      <c r="V106" s="306"/>
    </row>
    <row r="107" spans="2:22" s="104" customFormat="1" ht="25.5">
      <c r="B107" s="286" t="s">
        <v>81</v>
      </c>
      <c r="C107" s="307" t="s">
        <v>89</v>
      </c>
      <c r="D107" s="128"/>
      <c r="E107" s="130">
        <v>-404781</v>
      </c>
      <c r="F107" s="128">
        <v>-120035</v>
      </c>
      <c r="G107" s="128">
        <v>-35792</v>
      </c>
      <c r="H107" s="128">
        <v>-54727</v>
      </c>
      <c r="I107" s="128"/>
      <c r="J107" s="128"/>
      <c r="K107" s="128"/>
      <c r="L107" s="128"/>
      <c r="M107" s="126">
        <f t="shared" si="12"/>
        <v>-615335</v>
      </c>
      <c r="N107" s="126">
        <f t="shared" si="13"/>
        <v>-615335</v>
      </c>
      <c r="O107" s="124">
        <f t="shared" si="14"/>
        <v>0</v>
      </c>
      <c r="P107" s="128"/>
      <c r="Q107" s="128"/>
      <c r="R107" s="128"/>
      <c r="S107" s="128"/>
      <c r="T107" s="128"/>
      <c r="U107" s="128"/>
      <c r="V107" s="306"/>
    </row>
    <row r="108" spans="2:22" s="104" customFormat="1" ht="25.5">
      <c r="B108" s="286" t="s">
        <v>85</v>
      </c>
      <c r="C108" s="307" t="s">
        <v>88</v>
      </c>
      <c r="D108" s="128"/>
      <c r="E108" s="128">
        <v>-33963</v>
      </c>
      <c r="F108" s="128">
        <v>-9400</v>
      </c>
      <c r="G108" s="128">
        <v>-229937</v>
      </c>
      <c r="H108" s="128"/>
      <c r="I108" s="128"/>
      <c r="J108" s="128"/>
      <c r="K108" s="128"/>
      <c r="L108" s="128"/>
      <c r="M108" s="126">
        <f t="shared" si="12"/>
        <v>-273300</v>
      </c>
      <c r="N108" s="126">
        <f t="shared" si="13"/>
        <v>0</v>
      </c>
      <c r="O108" s="124">
        <f t="shared" si="14"/>
        <v>-273300</v>
      </c>
      <c r="P108" s="128"/>
      <c r="Q108" s="128"/>
      <c r="R108" s="128"/>
      <c r="S108" s="128">
        <v>-94803</v>
      </c>
      <c r="T108" s="128"/>
      <c r="U108" s="128">
        <v>-178497</v>
      </c>
      <c r="V108" s="306"/>
    </row>
    <row r="109" spans="2:22" s="104" customFormat="1" ht="25.5">
      <c r="B109" s="286" t="s">
        <v>81</v>
      </c>
      <c r="C109" s="307" t="s">
        <v>88</v>
      </c>
      <c r="D109" s="128"/>
      <c r="E109" s="128">
        <v>-28331</v>
      </c>
      <c r="F109" s="128">
        <v>-7650</v>
      </c>
      <c r="G109" s="128">
        <v>-50301</v>
      </c>
      <c r="H109" s="128">
        <v>-3960</v>
      </c>
      <c r="I109" s="128"/>
      <c r="J109" s="128"/>
      <c r="K109" s="128"/>
      <c r="L109" s="128"/>
      <c r="M109" s="126">
        <f t="shared" si="12"/>
        <v>-90242</v>
      </c>
      <c r="N109" s="126">
        <f t="shared" si="13"/>
        <v>-90242</v>
      </c>
      <c r="O109" s="124">
        <f t="shared" si="14"/>
        <v>0</v>
      </c>
      <c r="P109" s="128"/>
      <c r="Q109" s="128"/>
      <c r="R109" s="128"/>
      <c r="S109" s="128"/>
      <c r="T109" s="128"/>
      <c r="U109" s="128"/>
      <c r="V109" s="306"/>
    </row>
    <row r="110" spans="2:22" s="104" customFormat="1" hidden="1">
      <c r="B110" s="286"/>
      <c r="C110" s="30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6">
        <f t="shared" si="12"/>
        <v>0</v>
      </c>
      <c r="N110" s="126">
        <f t="shared" si="13"/>
        <v>0</v>
      </c>
      <c r="O110" s="124">
        <f t="shared" si="14"/>
        <v>0</v>
      </c>
      <c r="P110" s="128"/>
      <c r="Q110" s="128"/>
      <c r="R110" s="128"/>
      <c r="S110" s="128"/>
      <c r="T110" s="128"/>
      <c r="U110" s="128"/>
      <c r="V110" s="306"/>
    </row>
    <row r="111" spans="2:22" s="104" customFormat="1" hidden="1">
      <c r="B111" s="286"/>
      <c r="C111" s="30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6">
        <f t="shared" si="12"/>
        <v>0</v>
      </c>
      <c r="N111" s="126">
        <f t="shared" si="13"/>
        <v>0</v>
      </c>
      <c r="O111" s="124">
        <f t="shared" si="14"/>
        <v>0</v>
      </c>
      <c r="P111" s="128"/>
      <c r="Q111" s="128"/>
      <c r="R111" s="128"/>
      <c r="S111" s="128"/>
      <c r="T111" s="128"/>
      <c r="U111" s="128"/>
      <c r="V111" s="306"/>
    </row>
    <row r="112" spans="2:22" s="99" customFormat="1" ht="12.95" customHeight="1">
      <c r="B112" s="284"/>
      <c r="C112" s="309" t="s">
        <v>87</v>
      </c>
      <c r="D112" s="127">
        <f t="shared" ref="D112:V112" si="15">SUM(D104:D111)</f>
        <v>0</v>
      </c>
      <c r="E112" s="127">
        <f t="shared" si="15"/>
        <v>-1059656</v>
      </c>
      <c r="F112" s="127">
        <f t="shared" si="15"/>
        <v>-297573</v>
      </c>
      <c r="G112" s="127">
        <f t="shared" si="15"/>
        <v>-1024725</v>
      </c>
      <c r="H112" s="127">
        <f t="shared" si="15"/>
        <v>-58687</v>
      </c>
      <c r="I112" s="127">
        <f t="shared" si="15"/>
        <v>0</v>
      </c>
      <c r="J112" s="127">
        <f t="shared" si="15"/>
        <v>-45468</v>
      </c>
      <c r="K112" s="127">
        <f t="shared" si="15"/>
        <v>-6400</v>
      </c>
      <c r="L112" s="127">
        <f t="shared" si="15"/>
        <v>0</v>
      </c>
      <c r="M112" s="127">
        <f t="shared" si="15"/>
        <v>-2492509</v>
      </c>
      <c r="N112" s="127">
        <f t="shared" si="15"/>
        <v>-705577</v>
      </c>
      <c r="O112" s="127">
        <f t="shared" si="15"/>
        <v>-1786932</v>
      </c>
      <c r="P112" s="127">
        <f t="shared" si="15"/>
        <v>-57702</v>
      </c>
      <c r="Q112" s="127">
        <f t="shared" si="15"/>
        <v>0</v>
      </c>
      <c r="R112" s="127">
        <f t="shared" si="15"/>
        <v>0</v>
      </c>
      <c r="S112" s="127">
        <f t="shared" si="15"/>
        <v>-1547337</v>
      </c>
      <c r="T112" s="127">
        <f t="shared" si="15"/>
        <v>0</v>
      </c>
      <c r="U112" s="127">
        <f t="shared" si="15"/>
        <v>-181893</v>
      </c>
      <c r="V112" s="303">
        <f t="shared" si="15"/>
        <v>0</v>
      </c>
    </row>
    <row r="113" spans="2:22" s="103" customFormat="1" ht="12.95" customHeight="1">
      <c r="B113" s="284"/>
      <c r="C113" s="311" t="s">
        <v>86</v>
      </c>
      <c r="D113" s="126">
        <f t="shared" ref="D113:V113" si="16">SUM(D102+D112)</f>
        <v>-566</v>
      </c>
      <c r="E113" s="126">
        <f t="shared" si="16"/>
        <v>-2451416</v>
      </c>
      <c r="F113" s="126">
        <f t="shared" si="16"/>
        <v>-622287</v>
      </c>
      <c r="G113" s="126">
        <f t="shared" si="16"/>
        <v>-1332566</v>
      </c>
      <c r="H113" s="126">
        <f t="shared" si="16"/>
        <v>-30099</v>
      </c>
      <c r="I113" s="126">
        <f t="shared" si="16"/>
        <v>0</v>
      </c>
      <c r="J113" s="126">
        <f t="shared" si="16"/>
        <v>-161216</v>
      </c>
      <c r="K113" s="126">
        <f t="shared" si="16"/>
        <v>-12800</v>
      </c>
      <c r="L113" s="126">
        <f t="shared" si="16"/>
        <v>0</v>
      </c>
      <c r="M113" s="126">
        <f t="shared" si="16"/>
        <v>-4610384</v>
      </c>
      <c r="N113" s="126">
        <f t="shared" si="16"/>
        <v>-1036520</v>
      </c>
      <c r="O113" s="126">
        <f t="shared" si="16"/>
        <v>-3573864</v>
      </c>
      <c r="P113" s="126">
        <f t="shared" si="16"/>
        <v>-115404</v>
      </c>
      <c r="Q113" s="126">
        <f t="shared" si="16"/>
        <v>0</v>
      </c>
      <c r="R113" s="126">
        <f t="shared" si="16"/>
        <v>0</v>
      </c>
      <c r="S113" s="126">
        <f t="shared" si="16"/>
        <v>-3094674</v>
      </c>
      <c r="T113" s="126">
        <f t="shared" si="16"/>
        <v>0</v>
      </c>
      <c r="U113" s="126">
        <f t="shared" si="16"/>
        <v>-363786</v>
      </c>
      <c r="V113" s="312">
        <f t="shared" si="16"/>
        <v>0</v>
      </c>
    </row>
    <row r="114" spans="2:22" s="102" customFormat="1" ht="12.95" customHeight="1">
      <c r="B114" s="288"/>
      <c r="C114" s="313"/>
      <c r="D114" s="131"/>
      <c r="E114" s="124"/>
      <c r="F114" s="131"/>
      <c r="G114" s="131"/>
      <c r="H114" s="131"/>
      <c r="I114" s="124"/>
      <c r="J114" s="131"/>
      <c r="K114" s="131"/>
      <c r="L114" s="124"/>
      <c r="M114" s="124"/>
      <c r="N114" s="124"/>
      <c r="O114" s="124"/>
      <c r="P114" s="131"/>
      <c r="Q114" s="131"/>
      <c r="R114" s="131"/>
      <c r="S114" s="131"/>
      <c r="T114" s="131"/>
      <c r="U114" s="131"/>
      <c r="V114" s="314"/>
    </row>
    <row r="115" spans="2:22" s="101" customFormat="1" ht="12.95" customHeight="1">
      <c r="B115" s="289" t="s">
        <v>85</v>
      </c>
      <c r="C115" s="339" t="s">
        <v>84</v>
      </c>
      <c r="D115" s="132"/>
      <c r="E115" s="132">
        <f t="shared" ref="E115:N116" si="17">SUMIF($B$8:$B$111,$B115,E$8:E$111)</f>
        <v>3471512</v>
      </c>
      <c r="F115" s="132">
        <f t="shared" si="17"/>
        <v>1196424</v>
      </c>
      <c r="G115" s="132">
        <f t="shared" si="17"/>
        <v>1411736</v>
      </c>
      <c r="H115" s="132">
        <f t="shared" si="17"/>
        <v>207100</v>
      </c>
      <c r="I115" s="132">
        <f t="shared" si="17"/>
        <v>15000</v>
      </c>
      <c r="J115" s="132">
        <f t="shared" si="17"/>
        <v>383664</v>
      </c>
      <c r="K115" s="132">
        <f t="shared" si="17"/>
        <v>368400</v>
      </c>
      <c r="L115" s="132">
        <f t="shared" si="17"/>
        <v>3200</v>
      </c>
      <c r="M115" s="133">
        <f t="shared" si="17"/>
        <v>7057036</v>
      </c>
      <c r="N115" s="133">
        <f t="shared" si="17"/>
        <v>0</v>
      </c>
      <c r="O115" s="134">
        <f t="shared" ref="O115:V116" si="18">SUMIF($B$8:$B$111,$B115,O$8:O$111)</f>
        <v>7057036</v>
      </c>
      <c r="P115" s="132">
        <f t="shared" si="18"/>
        <v>1120396</v>
      </c>
      <c r="Q115" s="132">
        <f t="shared" si="18"/>
        <v>682000</v>
      </c>
      <c r="R115" s="132">
        <f t="shared" si="18"/>
        <v>0</v>
      </c>
      <c r="S115" s="132">
        <f t="shared" si="18"/>
        <v>4347526</v>
      </c>
      <c r="T115" s="132">
        <f t="shared" si="18"/>
        <v>0</v>
      </c>
      <c r="U115" s="132">
        <f t="shared" si="18"/>
        <v>86214</v>
      </c>
      <c r="V115" s="315">
        <f t="shared" si="18"/>
        <v>820900</v>
      </c>
    </row>
    <row r="116" spans="2:22" s="101" customFormat="1" ht="12.95" customHeight="1">
      <c r="B116" s="289" t="s">
        <v>81</v>
      </c>
      <c r="C116" s="339" t="s">
        <v>83</v>
      </c>
      <c r="D116" s="132"/>
      <c r="E116" s="132">
        <f t="shared" si="17"/>
        <v>3844172</v>
      </c>
      <c r="F116" s="132">
        <f t="shared" si="17"/>
        <v>903789</v>
      </c>
      <c r="G116" s="132">
        <f t="shared" si="17"/>
        <v>1970298</v>
      </c>
      <c r="H116" s="132">
        <f t="shared" si="17"/>
        <v>1208001</v>
      </c>
      <c r="I116" s="132">
        <f t="shared" si="17"/>
        <v>0</v>
      </c>
      <c r="J116" s="132">
        <f t="shared" si="17"/>
        <v>229720</v>
      </c>
      <c r="K116" s="132">
        <f t="shared" si="17"/>
        <v>0</v>
      </c>
      <c r="L116" s="132">
        <f t="shared" si="17"/>
        <v>0</v>
      </c>
      <c r="M116" s="133">
        <f t="shared" si="17"/>
        <v>8155980</v>
      </c>
      <c r="N116" s="133">
        <f t="shared" si="17"/>
        <v>8155980</v>
      </c>
      <c r="O116" s="134">
        <f t="shared" si="18"/>
        <v>0</v>
      </c>
      <c r="P116" s="132">
        <f t="shared" si="18"/>
        <v>0</v>
      </c>
      <c r="Q116" s="132">
        <f t="shared" si="18"/>
        <v>0</v>
      </c>
      <c r="R116" s="132">
        <f t="shared" si="18"/>
        <v>0</v>
      </c>
      <c r="S116" s="132">
        <f t="shared" si="18"/>
        <v>0</v>
      </c>
      <c r="T116" s="132">
        <f t="shared" si="18"/>
        <v>0</v>
      </c>
      <c r="U116" s="132">
        <f t="shared" si="18"/>
        <v>0</v>
      </c>
      <c r="V116" s="315">
        <f t="shared" si="18"/>
        <v>0</v>
      </c>
    </row>
    <row r="117" spans="2:22" s="100" customFormat="1" ht="23.25" customHeight="1" thickBot="1">
      <c r="B117" s="290"/>
      <c r="C117" s="316" t="s">
        <v>82</v>
      </c>
      <c r="D117" s="317">
        <f t="shared" ref="D117:V117" si="19">SUM(D15+D113)</f>
        <v>1771</v>
      </c>
      <c r="E117" s="317">
        <f t="shared" si="19"/>
        <v>7315684</v>
      </c>
      <c r="F117" s="317">
        <f t="shared" si="19"/>
        <v>2100213</v>
      </c>
      <c r="G117" s="317">
        <f t="shared" si="19"/>
        <v>3382034</v>
      </c>
      <c r="H117" s="317">
        <f t="shared" si="19"/>
        <v>1415101</v>
      </c>
      <c r="I117" s="317">
        <f t="shared" si="19"/>
        <v>15000</v>
      </c>
      <c r="J117" s="317">
        <f t="shared" si="19"/>
        <v>613384</v>
      </c>
      <c r="K117" s="317">
        <f t="shared" si="19"/>
        <v>368400</v>
      </c>
      <c r="L117" s="317">
        <f t="shared" si="19"/>
        <v>3200</v>
      </c>
      <c r="M117" s="317">
        <f t="shared" si="19"/>
        <v>15213016</v>
      </c>
      <c r="N117" s="317">
        <f t="shared" si="19"/>
        <v>8155980</v>
      </c>
      <c r="O117" s="317">
        <f t="shared" si="19"/>
        <v>7057036</v>
      </c>
      <c r="P117" s="317">
        <f t="shared" si="19"/>
        <v>1120396</v>
      </c>
      <c r="Q117" s="317">
        <f t="shared" si="19"/>
        <v>682000</v>
      </c>
      <c r="R117" s="317">
        <f t="shared" si="19"/>
        <v>0</v>
      </c>
      <c r="S117" s="317">
        <f t="shared" si="19"/>
        <v>4347526</v>
      </c>
      <c r="T117" s="317">
        <f t="shared" si="19"/>
        <v>0</v>
      </c>
      <c r="U117" s="317">
        <f t="shared" si="19"/>
        <v>86214</v>
      </c>
      <c r="V117" s="318">
        <f t="shared" si="19"/>
        <v>820900</v>
      </c>
    </row>
    <row r="118" spans="2:22">
      <c r="C118" s="98"/>
      <c r="D118" s="114"/>
      <c r="E118" s="114"/>
      <c r="F118" s="114"/>
      <c r="G118" s="114"/>
      <c r="H118" s="114"/>
      <c r="I118" s="115"/>
      <c r="J118" s="114"/>
      <c r="K118" s="114"/>
      <c r="L118" s="115"/>
      <c r="M118" s="97"/>
      <c r="N118" s="97"/>
      <c r="O118" s="97"/>
      <c r="P118" s="114"/>
      <c r="Q118" s="114"/>
      <c r="R118" s="114"/>
      <c r="S118" s="114"/>
      <c r="T118" s="114"/>
      <c r="U118" s="114"/>
      <c r="V118" s="114"/>
    </row>
    <row r="119" spans="2:22">
      <c r="C119" s="98"/>
      <c r="D119" s="114"/>
      <c r="E119" s="114"/>
      <c r="F119" s="114"/>
      <c r="G119" s="114"/>
      <c r="H119" s="114"/>
      <c r="I119" s="115"/>
      <c r="J119" s="114"/>
      <c r="K119" s="114"/>
      <c r="L119" s="115"/>
      <c r="M119" s="97"/>
      <c r="N119" s="97"/>
      <c r="O119" s="97"/>
      <c r="P119" s="114"/>
      <c r="Q119" s="114"/>
      <c r="R119" s="114"/>
      <c r="S119" s="114"/>
      <c r="T119" s="114"/>
      <c r="U119" s="114"/>
      <c r="V119" s="114"/>
    </row>
    <row r="120" spans="2:22">
      <c r="C120" s="98"/>
      <c r="D120" s="114"/>
      <c r="E120" s="114"/>
      <c r="F120" s="114"/>
      <c r="G120" s="114"/>
      <c r="H120" s="114"/>
      <c r="I120" s="115"/>
      <c r="J120" s="114"/>
      <c r="K120" s="114"/>
      <c r="L120" s="115"/>
      <c r="M120" s="97"/>
      <c r="N120" s="97"/>
      <c r="O120" s="97"/>
      <c r="P120" s="114"/>
      <c r="Q120" s="114"/>
      <c r="R120" s="114"/>
      <c r="S120" s="114"/>
      <c r="T120" s="114"/>
      <c r="U120" s="114"/>
      <c r="V120" s="114"/>
    </row>
    <row r="121" spans="2:22">
      <c r="C121" s="116"/>
      <c r="M121" s="97"/>
      <c r="N121" s="97"/>
      <c r="O121" s="97"/>
    </row>
    <row r="122" spans="2:22">
      <c r="C122" s="98"/>
      <c r="D122" s="114"/>
      <c r="E122" s="114"/>
      <c r="F122" s="114"/>
      <c r="G122" s="114"/>
      <c r="H122" s="114"/>
      <c r="I122" s="115"/>
      <c r="J122" s="114"/>
      <c r="K122" s="114"/>
      <c r="L122" s="115"/>
      <c r="M122" s="97"/>
      <c r="N122" s="97"/>
      <c r="O122" s="97"/>
      <c r="P122" s="114"/>
      <c r="Q122" s="114"/>
      <c r="R122" s="114"/>
      <c r="S122" s="114"/>
      <c r="T122" s="114"/>
      <c r="U122" s="114"/>
      <c r="V122" s="114"/>
    </row>
    <row r="123" spans="2:22">
      <c r="C123" s="98"/>
      <c r="D123" s="114"/>
      <c r="E123" s="114"/>
      <c r="F123" s="114"/>
      <c r="G123" s="114"/>
      <c r="H123" s="114"/>
      <c r="I123" s="115"/>
      <c r="J123" s="114"/>
      <c r="K123" s="114"/>
      <c r="L123" s="115"/>
      <c r="M123" s="97"/>
      <c r="N123" s="97"/>
      <c r="O123" s="97"/>
      <c r="P123" s="114"/>
      <c r="Q123" s="114"/>
      <c r="R123" s="114"/>
      <c r="S123" s="114"/>
      <c r="T123" s="114"/>
      <c r="U123" s="114"/>
      <c r="V123" s="114"/>
    </row>
  </sheetData>
  <mergeCells count="25">
    <mergeCell ref="V5:V6"/>
    <mergeCell ref="O5:O6"/>
    <mergeCell ref="P5:P6"/>
    <mergeCell ref="Q5:Q6"/>
    <mergeCell ref="H5:H6"/>
    <mergeCell ref="I5:I6"/>
    <mergeCell ref="J5:J6"/>
    <mergeCell ref="K5:K6"/>
    <mergeCell ref="L5:L6"/>
    <mergeCell ref="A3:V3"/>
    <mergeCell ref="U2:V2"/>
    <mergeCell ref="R5:R6"/>
    <mergeCell ref="S5:S6"/>
    <mergeCell ref="T5:T6"/>
    <mergeCell ref="M5:M6"/>
    <mergeCell ref="B4:B7"/>
    <mergeCell ref="C4:C7"/>
    <mergeCell ref="D4:D7"/>
    <mergeCell ref="E4:M4"/>
    <mergeCell ref="N4:N6"/>
    <mergeCell ref="O4:V4"/>
    <mergeCell ref="E5:E6"/>
    <mergeCell ref="F5:F6"/>
    <mergeCell ref="G5:G6"/>
    <mergeCell ref="U5:U6"/>
  </mergeCells>
  <printOptions horizontalCentered="1" gridLines="1"/>
  <pageMargins left="0.19685039370078741" right="0.19685039370078741" top="0.74803149606299213" bottom="0.35433070866141736" header="0.15748031496062992" footer="0.15748031496062992"/>
  <pageSetup paperSize="8" scale="75" fitToHeight="2" orientation="landscape" r:id="rId1"/>
  <headerFooter alignWithMargins="0">
    <oddHeader>&amp;R&amp;"Times New Roman,Dőlt"1.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J18" sqref="J18"/>
    </sheetView>
  </sheetViews>
  <sheetFormatPr defaultRowHeight="15"/>
  <cols>
    <col min="1" max="1" width="36.7109375" customWidth="1"/>
    <col min="2" max="2" width="14.85546875" style="351" customWidth="1"/>
    <col min="3" max="10" width="12.7109375" style="351" customWidth="1"/>
    <col min="11" max="11" width="12.28515625" customWidth="1"/>
    <col min="12" max="12" width="12.85546875" customWidth="1"/>
  </cols>
  <sheetData>
    <row r="1" spans="1:12" ht="15.75">
      <c r="A1" s="496" t="s">
        <v>290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2">
      <c r="A2" s="364"/>
      <c r="B2" s="364"/>
      <c r="C2" s="360" t="s">
        <v>295</v>
      </c>
      <c r="D2" s="360" t="s">
        <v>296</v>
      </c>
      <c r="E2" s="360" t="s">
        <v>288</v>
      </c>
      <c r="F2" s="360" t="s">
        <v>297</v>
      </c>
      <c r="G2" s="360" t="s">
        <v>298</v>
      </c>
      <c r="H2" s="360" t="s">
        <v>289</v>
      </c>
      <c r="I2" s="360" t="s">
        <v>299</v>
      </c>
      <c r="J2" s="360" t="s">
        <v>300</v>
      </c>
      <c r="K2" s="360" t="s">
        <v>301</v>
      </c>
    </row>
    <row r="3" spans="1:12">
      <c r="A3" s="365" t="s">
        <v>291</v>
      </c>
      <c r="B3" s="365">
        <v>1407086</v>
      </c>
      <c r="C3" s="362"/>
      <c r="D3" s="362"/>
      <c r="E3" s="362"/>
      <c r="F3" s="362"/>
      <c r="G3" s="362"/>
      <c r="H3" s="362"/>
      <c r="I3" s="362"/>
      <c r="J3" s="362"/>
      <c r="K3" s="363"/>
    </row>
    <row r="4" spans="1:12">
      <c r="A4" s="366" t="s">
        <v>292</v>
      </c>
      <c r="B4" s="362">
        <v>1500486</v>
      </c>
      <c r="C4" s="362"/>
      <c r="D4" s="362"/>
      <c r="E4" s="362"/>
      <c r="F4" s="362"/>
      <c r="G4" s="362"/>
      <c r="H4" s="362"/>
      <c r="I4" s="362"/>
      <c r="J4" s="362"/>
      <c r="K4" s="363"/>
    </row>
    <row r="5" spans="1:12">
      <c r="A5" s="365" t="s">
        <v>293</v>
      </c>
      <c r="B5" s="362">
        <v>101371</v>
      </c>
      <c r="C5" s="362"/>
      <c r="D5" s="362"/>
      <c r="E5" s="362"/>
      <c r="F5" s="362"/>
      <c r="G5" s="362"/>
      <c r="H5" s="362"/>
      <c r="I5" s="362"/>
      <c r="J5" s="362"/>
      <c r="K5" s="363"/>
    </row>
    <row r="6" spans="1:12">
      <c r="A6" s="365" t="s">
        <v>294</v>
      </c>
      <c r="B6" s="365">
        <v>1373909</v>
      </c>
      <c r="C6" s="362"/>
      <c r="D6" s="362"/>
      <c r="E6" s="362"/>
      <c r="F6" s="362"/>
      <c r="G6" s="362"/>
      <c r="H6" s="362"/>
      <c r="I6" s="362"/>
      <c r="J6" s="362"/>
      <c r="K6" s="363"/>
    </row>
    <row r="7" spans="1:12">
      <c r="A7" s="367" t="s">
        <v>237</v>
      </c>
      <c r="B7" s="368">
        <f>'[17]SZIE '!$C$22</f>
        <v>3773128</v>
      </c>
      <c r="C7" s="368">
        <v>201480</v>
      </c>
      <c r="D7" s="368">
        <v>610416</v>
      </c>
      <c r="E7" s="368">
        <v>633256</v>
      </c>
      <c r="F7" s="368">
        <v>357250</v>
      </c>
      <c r="G7" s="368">
        <v>519885</v>
      </c>
      <c r="H7" s="368">
        <v>723646</v>
      </c>
      <c r="I7" s="368">
        <v>249258</v>
      </c>
      <c r="J7" s="368">
        <v>315198</v>
      </c>
      <c r="K7" s="382">
        <v>162739</v>
      </c>
      <c r="L7" s="351"/>
    </row>
    <row r="8" spans="1:12">
      <c r="A8" s="363" t="s">
        <v>302</v>
      </c>
      <c r="B8" s="362"/>
      <c r="C8" s="362"/>
      <c r="D8" s="362"/>
      <c r="E8" s="362"/>
      <c r="F8" s="362"/>
      <c r="G8" s="362"/>
      <c r="H8" s="362"/>
      <c r="I8" s="362"/>
      <c r="J8" s="362"/>
      <c r="K8" s="363"/>
      <c r="L8" s="351"/>
    </row>
    <row r="9" spans="1:12">
      <c r="A9" s="363" t="s">
        <v>307</v>
      </c>
      <c r="B9" s="362">
        <f>C9+D9+E9+F9+G9+H9+I9+J9+K9</f>
        <v>4149809</v>
      </c>
      <c r="C9" s="362">
        <v>275700</v>
      </c>
      <c r="D9" s="362">
        <v>511715</v>
      </c>
      <c r="E9" s="362">
        <v>824865</v>
      </c>
      <c r="F9" s="362">
        <v>452130</v>
      </c>
      <c r="G9" s="362">
        <v>574691</v>
      </c>
      <c r="H9" s="362">
        <v>740430</v>
      </c>
      <c r="I9" s="362">
        <v>271461</v>
      </c>
      <c r="J9" s="362">
        <v>469667</v>
      </c>
      <c r="K9" s="362">
        <v>29150</v>
      </c>
      <c r="L9" s="497"/>
    </row>
    <row r="10" spans="1:12">
      <c r="A10" s="369" t="s">
        <v>304</v>
      </c>
      <c r="B10" s="362">
        <f>C10+D10+E10+F10+G10+H10+I10+J10+K10</f>
        <v>922355</v>
      </c>
      <c r="C10" s="362">
        <v>64719</v>
      </c>
      <c r="D10" s="362">
        <v>111586</v>
      </c>
      <c r="E10" s="362">
        <v>185730</v>
      </c>
      <c r="F10" s="362">
        <v>103773</v>
      </c>
      <c r="G10" s="362">
        <v>125012</v>
      </c>
      <c r="H10" s="362">
        <v>163239</v>
      </c>
      <c r="I10" s="362">
        <v>59370</v>
      </c>
      <c r="J10" s="362">
        <v>102513</v>
      </c>
      <c r="K10" s="362">
        <f>29150*22%</f>
        <v>6413</v>
      </c>
      <c r="L10" s="498"/>
    </row>
    <row r="11" spans="1:12">
      <c r="A11" s="369" t="s">
        <v>305</v>
      </c>
      <c r="B11" s="362">
        <f>C11+D11+E11+F11+G11+H11+I11+J11+K11</f>
        <v>1252115</v>
      </c>
      <c r="C11" s="362">
        <v>211370</v>
      </c>
      <c r="D11" s="362">
        <v>127758</v>
      </c>
      <c r="E11" s="362">
        <v>318456</v>
      </c>
      <c r="F11" s="362">
        <v>22449</v>
      </c>
      <c r="G11" s="362">
        <v>129952</v>
      </c>
      <c r="H11" s="362">
        <v>188261</v>
      </c>
      <c r="I11" s="362">
        <v>127259</v>
      </c>
      <c r="J11" s="362">
        <v>85827</v>
      </c>
      <c r="K11" s="362">
        <v>40783</v>
      </c>
      <c r="L11" s="361"/>
    </row>
    <row r="12" spans="1:12">
      <c r="A12" s="370" t="s">
        <v>303</v>
      </c>
      <c r="B12" s="362">
        <v>223805</v>
      </c>
      <c r="C12" s="362"/>
      <c r="D12" s="362"/>
      <c r="E12" s="362"/>
      <c r="F12" s="362"/>
      <c r="G12" s="362"/>
      <c r="H12" s="362"/>
      <c r="I12" s="362"/>
      <c r="J12" s="362"/>
      <c r="K12" s="362"/>
    </row>
    <row r="13" spans="1:12">
      <c r="A13" s="363" t="s">
        <v>306</v>
      </c>
      <c r="B13" s="362">
        <v>631924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51"/>
    </row>
    <row r="14" spans="1:12">
      <c r="A14" s="383"/>
      <c r="B14" s="384"/>
      <c r="C14" s="368">
        <f t="shared" ref="C14:K14" si="0">C7-C9-C10-C11</f>
        <v>-350309</v>
      </c>
      <c r="D14" s="368">
        <f t="shared" si="0"/>
        <v>-140643</v>
      </c>
      <c r="E14" s="368">
        <f t="shared" si="0"/>
        <v>-695795</v>
      </c>
      <c r="F14" s="368">
        <f t="shared" si="0"/>
        <v>-221102</v>
      </c>
      <c r="G14" s="368">
        <f t="shared" si="0"/>
        <v>-309770</v>
      </c>
      <c r="H14" s="368">
        <f t="shared" si="0"/>
        <v>-368284</v>
      </c>
      <c r="I14" s="368">
        <f t="shared" si="0"/>
        <v>-208832</v>
      </c>
      <c r="J14" s="368">
        <f t="shared" si="0"/>
        <v>-342809</v>
      </c>
      <c r="K14" s="368">
        <f t="shared" si="0"/>
        <v>86393</v>
      </c>
      <c r="L14" s="351"/>
    </row>
    <row r="15" spans="1:12">
      <c r="A15" s="372" t="s">
        <v>308</v>
      </c>
      <c r="B15" s="499">
        <f>SUM(B9:B13)</f>
        <v>7180008</v>
      </c>
      <c r="C15" s="371"/>
      <c r="D15" s="362"/>
      <c r="E15" s="362"/>
      <c r="F15" s="362"/>
      <c r="G15" s="362"/>
      <c r="H15" s="362"/>
      <c r="I15" s="362"/>
      <c r="J15" s="362"/>
      <c r="K15" s="362"/>
    </row>
    <row r="16" spans="1:12" ht="30">
      <c r="A16" s="373" t="s">
        <v>309</v>
      </c>
      <c r="B16" s="500"/>
      <c r="C16" s="359"/>
      <c r="D16" s="359"/>
      <c r="E16" s="359"/>
      <c r="F16" s="359"/>
      <c r="G16" s="359"/>
      <c r="H16" s="359"/>
      <c r="I16" s="359"/>
      <c r="J16" s="359"/>
      <c r="K16" s="359"/>
    </row>
    <row r="17" spans="1:13">
      <c r="A17" s="192" t="s">
        <v>311</v>
      </c>
      <c r="B17" s="358"/>
      <c r="C17" s="358">
        <v>142000</v>
      </c>
      <c r="D17" s="358">
        <v>342000</v>
      </c>
      <c r="E17" s="358">
        <v>910000</v>
      </c>
      <c r="F17" s="358">
        <v>355000</v>
      </c>
      <c r="G17" s="358">
        <v>218000</v>
      </c>
      <c r="H17" s="358">
        <v>438300</v>
      </c>
      <c r="I17" s="358">
        <v>189000</v>
      </c>
      <c r="J17" s="358">
        <v>302000</v>
      </c>
      <c r="K17" s="192"/>
    </row>
    <row r="18" spans="1:13" s="348" customFormat="1" ht="75">
      <c r="A18" s="374" t="s">
        <v>310</v>
      </c>
      <c r="B18" s="375">
        <v>732576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</sheetData>
  <mergeCells count="3">
    <mergeCell ref="A1:J1"/>
    <mergeCell ref="L9:L10"/>
    <mergeCell ref="B15:B16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workbookViewId="0">
      <selection activeCell="A4" sqref="A4:L46"/>
    </sheetView>
  </sheetViews>
  <sheetFormatPr defaultRowHeight="12.75"/>
  <cols>
    <col min="1" max="1" width="20.7109375" style="137" customWidth="1"/>
    <col min="2" max="4" width="11.7109375" style="137" customWidth="1"/>
    <col min="5" max="5" width="11.7109375" style="160" customWidth="1"/>
    <col min="6" max="12" width="11.7109375" style="137" customWidth="1"/>
    <col min="13" max="16384" width="9.140625" style="137"/>
  </cols>
  <sheetData>
    <row r="2" spans="1:12" ht="15.75">
      <c r="A2" s="404" t="s">
        <v>173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9.75" customHeight="1" thickBot="1">
      <c r="A3" s="138"/>
      <c r="B3" s="226"/>
      <c r="C3" s="138"/>
      <c r="D3" s="226"/>
      <c r="E3" s="139"/>
      <c r="F3" s="138"/>
      <c r="G3" s="138"/>
      <c r="H3" s="138"/>
      <c r="I3" s="138"/>
      <c r="J3" s="138"/>
      <c r="K3" s="138"/>
      <c r="L3" s="138"/>
    </row>
    <row r="4" spans="1:12" ht="12.75" customHeight="1">
      <c r="A4" s="405" t="s">
        <v>174</v>
      </c>
      <c r="B4" s="408" t="s">
        <v>242</v>
      </c>
      <c r="C4" s="400" t="s">
        <v>175</v>
      </c>
      <c r="D4" s="400" t="s">
        <v>177</v>
      </c>
      <c r="E4" s="400" t="s">
        <v>176</v>
      </c>
      <c r="F4" s="400" t="s">
        <v>51</v>
      </c>
      <c r="G4" s="400" t="s">
        <v>178</v>
      </c>
      <c r="H4" s="400" t="s">
        <v>179</v>
      </c>
      <c r="I4" s="400" t="s">
        <v>32</v>
      </c>
      <c r="J4" s="400" t="s">
        <v>50</v>
      </c>
      <c r="K4" s="400" t="s">
        <v>8</v>
      </c>
      <c r="L4" s="402" t="s">
        <v>0</v>
      </c>
    </row>
    <row r="5" spans="1:12" ht="45" customHeight="1">
      <c r="A5" s="406"/>
      <c r="B5" s="409"/>
      <c r="C5" s="407"/>
      <c r="D5" s="407"/>
      <c r="E5" s="407"/>
      <c r="F5" s="407"/>
      <c r="G5" s="407"/>
      <c r="H5" s="407"/>
      <c r="I5" s="407"/>
      <c r="J5" s="401"/>
      <c r="K5" s="401"/>
      <c r="L5" s="403"/>
    </row>
    <row r="6" spans="1:12" s="144" customFormat="1">
      <c r="A6" s="140" t="s">
        <v>180</v>
      </c>
      <c r="B6" s="141"/>
      <c r="C6" s="141"/>
      <c r="D6" s="141"/>
      <c r="E6" s="142"/>
      <c r="F6" s="141"/>
      <c r="G6" s="141"/>
      <c r="H6" s="141"/>
      <c r="I6" s="141"/>
      <c r="J6" s="141"/>
      <c r="K6" s="265"/>
      <c r="L6" s="143"/>
    </row>
    <row r="7" spans="1:12">
      <c r="A7" s="145" t="s">
        <v>181</v>
      </c>
      <c r="B7" s="146">
        <f>(213+230)/2</f>
        <v>221.5</v>
      </c>
      <c r="C7" s="146">
        <f>(888-19+1046-18)/2</f>
        <v>948.5</v>
      </c>
      <c r="D7" s="146">
        <f>(481-31+544-17)/2</f>
        <v>488.5</v>
      </c>
      <c r="E7" s="147">
        <f>(570-10+591-5)/2</f>
        <v>573</v>
      </c>
      <c r="F7" s="146">
        <f>(896-35+923-31)/2</f>
        <v>876.5</v>
      </c>
      <c r="G7" s="146">
        <f>(1437-86+1542-58)/2</f>
        <v>1417.5</v>
      </c>
      <c r="H7" s="146">
        <f>(465-10+514-12)/2</f>
        <v>478.5</v>
      </c>
      <c r="I7" s="146">
        <f>(576+660)/2</f>
        <v>618</v>
      </c>
      <c r="J7" s="146"/>
      <c r="K7" s="146"/>
      <c r="L7" s="148"/>
    </row>
    <row r="8" spans="1:12">
      <c r="A8" s="145" t="s">
        <v>182</v>
      </c>
      <c r="B8" s="146">
        <v>1</v>
      </c>
      <c r="C8" s="146">
        <v>0</v>
      </c>
      <c r="D8" s="146">
        <v>0</v>
      </c>
      <c r="E8" s="147">
        <v>0</v>
      </c>
      <c r="F8" s="146">
        <v>0</v>
      </c>
      <c r="G8" s="146">
        <v>0</v>
      </c>
      <c r="H8" s="146">
        <v>1</v>
      </c>
      <c r="I8" s="146">
        <v>0</v>
      </c>
      <c r="J8" s="146"/>
      <c r="K8" s="146"/>
      <c r="L8" s="148"/>
    </row>
    <row r="9" spans="1:12">
      <c r="A9" s="145" t="s">
        <v>183</v>
      </c>
      <c r="B9" s="146">
        <f>(B7+B8)*119</f>
        <v>26477.5</v>
      </c>
      <c r="C9" s="146">
        <f>(C7+C8)*119</f>
        <v>112871.5</v>
      </c>
      <c r="D9" s="146">
        <f>(D7+D8)*119</f>
        <v>58131.5</v>
      </c>
      <c r="E9" s="147">
        <f t="shared" ref="E9:I9" si="0">(E7+E8)*119</f>
        <v>68187</v>
      </c>
      <c r="F9" s="146">
        <f t="shared" si="0"/>
        <v>104303.5</v>
      </c>
      <c r="G9" s="146">
        <f t="shared" si="0"/>
        <v>168682.5</v>
      </c>
      <c r="H9" s="146">
        <f t="shared" si="0"/>
        <v>57060.5</v>
      </c>
      <c r="I9" s="146">
        <f t="shared" si="0"/>
        <v>73542</v>
      </c>
      <c r="J9" s="146"/>
      <c r="K9" s="146">
        <f>(K7*+K8)*119</f>
        <v>0</v>
      </c>
      <c r="L9" s="148">
        <f>(L7*+L8)*119</f>
        <v>0</v>
      </c>
    </row>
    <row r="10" spans="1:12">
      <c r="A10" s="145" t="s">
        <v>184</v>
      </c>
      <c r="B10" s="146">
        <f>(-B9*1%)</f>
        <v>-264.77499999999998</v>
      </c>
      <c r="C10" s="146">
        <f t="shared" ref="C10:K10" si="1">(-C9*1%)</f>
        <v>-1128.7149999999999</v>
      </c>
      <c r="D10" s="146">
        <f>(-D9*1%)</f>
        <v>-581.31500000000005</v>
      </c>
      <c r="E10" s="147">
        <f t="shared" si="1"/>
        <v>-681.87</v>
      </c>
      <c r="F10" s="146">
        <f t="shared" si="1"/>
        <v>-1043.0350000000001</v>
      </c>
      <c r="G10" s="146">
        <f t="shared" si="1"/>
        <v>-1686.825</v>
      </c>
      <c r="H10" s="146">
        <f t="shared" si="1"/>
        <v>-570.60500000000002</v>
      </c>
      <c r="I10" s="146">
        <f t="shared" si="1"/>
        <v>-735.42</v>
      </c>
      <c r="J10" s="146"/>
      <c r="K10" s="146">
        <f t="shared" si="1"/>
        <v>0</v>
      </c>
      <c r="L10" s="148"/>
    </row>
    <row r="11" spans="1:12" s="144" customFormat="1">
      <c r="A11" s="140" t="s">
        <v>185</v>
      </c>
      <c r="B11" s="150">
        <f>SUM(B9)+B10</f>
        <v>26212.724999999999</v>
      </c>
      <c r="C11" s="150">
        <f t="shared" ref="C11:L11" si="2">SUM(C9)+C10</f>
        <v>111742.785</v>
      </c>
      <c r="D11" s="150">
        <f>SUM(D9)+D10</f>
        <v>57550.184999999998</v>
      </c>
      <c r="E11" s="151">
        <f t="shared" si="2"/>
        <v>67505.13</v>
      </c>
      <c r="F11" s="150">
        <f t="shared" si="2"/>
        <v>103260.465</v>
      </c>
      <c r="G11" s="150">
        <f t="shared" si="2"/>
        <v>166995.67499999999</v>
      </c>
      <c r="H11" s="150">
        <f t="shared" si="2"/>
        <v>56489.894999999997</v>
      </c>
      <c r="I11" s="150">
        <f t="shared" ref="I11" si="3">SUM(I9)+I10</f>
        <v>72806.58</v>
      </c>
      <c r="J11" s="150"/>
      <c r="K11" s="150">
        <f t="shared" si="2"/>
        <v>0</v>
      </c>
      <c r="L11" s="152">
        <f t="shared" si="2"/>
        <v>0</v>
      </c>
    </row>
    <row r="12" spans="1:12" s="144" customFormat="1" ht="8.25" customHeight="1">
      <c r="A12" s="140"/>
      <c r="B12" s="150"/>
      <c r="C12" s="150"/>
      <c r="D12" s="150"/>
      <c r="E12" s="151"/>
      <c r="F12" s="150"/>
      <c r="G12" s="150"/>
      <c r="H12" s="150"/>
      <c r="I12" s="150"/>
      <c r="J12" s="150"/>
      <c r="K12" s="150"/>
      <c r="L12" s="152"/>
    </row>
    <row r="13" spans="1:12" s="144" customFormat="1" ht="12.75" customHeight="1">
      <c r="A13" s="140" t="s">
        <v>246</v>
      </c>
      <c r="B13" s="150"/>
      <c r="C13" s="150"/>
      <c r="D13" s="150"/>
      <c r="E13" s="151"/>
      <c r="F13" s="150"/>
      <c r="G13" s="150"/>
      <c r="H13" s="150"/>
      <c r="I13" s="150"/>
      <c r="J13" s="150"/>
      <c r="K13" s="150"/>
      <c r="L13" s="152"/>
    </row>
    <row r="14" spans="1:12" s="144" customFormat="1" ht="12.75" customHeight="1">
      <c r="A14" s="145" t="s">
        <v>181</v>
      </c>
      <c r="B14" s="238">
        <v>20</v>
      </c>
      <c r="C14" s="238">
        <v>120</v>
      </c>
      <c r="D14" s="238">
        <v>105</v>
      </c>
      <c r="E14" s="238">
        <v>86</v>
      </c>
      <c r="F14" s="238">
        <v>106</v>
      </c>
      <c r="G14" s="238">
        <v>188</v>
      </c>
      <c r="H14" s="238">
        <v>56</v>
      </c>
      <c r="I14" s="238">
        <v>86</v>
      </c>
      <c r="J14" s="150"/>
      <c r="K14" s="150"/>
      <c r="L14" s="152"/>
    </row>
    <row r="15" spans="1:12" s="237" customFormat="1" ht="12.75" customHeight="1">
      <c r="A15" s="145" t="s">
        <v>251</v>
      </c>
      <c r="B15" s="228">
        <v>461</v>
      </c>
      <c r="C15" s="229">
        <v>2617</v>
      </c>
      <c r="D15" s="228">
        <f>1630.5+707.5</f>
        <v>2338</v>
      </c>
      <c r="E15" s="228">
        <v>1956</v>
      </c>
      <c r="F15" s="228">
        <v>2417</v>
      </c>
      <c r="G15" s="228">
        <v>4188</v>
      </c>
      <c r="H15" s="228">
        <v>1278</v>
      </c>
      <c r="I15" s="228">
        <v>1896</v>
      </c>
      <c r="J15" s="146"/>
      <c r="K15" s="146"/>
      <c r="L15" s="148"/>
    </row>
    <row r="16" spans="1:12" s="144" customFormat="1" ht="12.75" customHeight="1">
      <c r="A16" s="140" t="s">
        <v>185</v>
      </c>
      <c r="B16" s="150">
        <f t="shared" ref="B16:L16" si="4">SUM(B15)</f>
        <v>461</v>
      </c>
      <c r="C16" s="150">
        <f t="shared" si="4"/>
        <v>2617</v>
      </c>
      <c r="D16" s="150">
        <f t="shared" si="4"/>
        <v>2338</v>
      </c>
      <c r="E16" s="150">
        <f t="shared" si="4"/>
        <v>1956</v>
      </c>
      <c r="F16" s="150">
        <f t="shared" si="4"/>
        <v>2417</v>
      </c>
      <c r="G16" s="150">
        <f t="shared" si="4"/>
        <v>4188</v>
      </c>
      <c r="H16" s="150">
        <f t="shared" si="4"/>
        <v>1278</v>
      </c>
      <c r="I16" s="150">
        <f t="shared" si="4"/>
        <v>1896</v>
      </c>
      <c r="J16" s="150">
        <f t="shared" si="4"/>
        <v>0</v>
      </c>
      <c r="K16" s="150">
        <f t="shared" si="4"/>
        <v>0</v>
      </c>
      <c r="L16" s="152">
        <f t="shared" si="4"/>
        <v>0</v>
      </c>
    </row>
    <row r="17" spans="1:12" s="144" customFormat="1" ht="12.75" customHeight="1">
      <c r="A17" s="140"/>
      <c r="B17" s="150"/>
      <c r="C17" s="150"/>
      <c r="D17" s="150"/>
      <c r="E17" s="151"/>
      <c r="F17" s="150"/>
      <c r="G17" s="150"/>
      <c r="H17" s="150"/>
      <c r="I17" s="150"/>
      <c r="J17" s="150"/>
      <c r="K17" s="150"/>
      <c r="L17" s="152"/>
    </row>
    <row r="18" spans="1:12" s="144" customFormat="1">
      <c r="A18" s="140" t="s">
        <v>186</v>
      </c>
      <c r="B18" s="141"/>
      <c r="C18" s="141"/>
      <c r="D18" s="141"/>
      <c r="E18" s="142"/>
      <c r="F18" s="141"/>
      <c r="G18" s="141"/>
      <c r="H18" s="141"/>
      <c r="I18" s="141"/>
      <c r="J18" s="141"/>
      <c r="K18" s="150"/>
      <c r="L18" s="143"/>
    </row>
    <row r="19" spans="1:12">
      <c r="A19" s="145" t="s">
        <v>187</v>
      </c>
      <c r="B19" s="146">
        <v>0</v>
      </c>
      <c r="C19" s="146">
        <f>(19+18)/2</f>
        <v>18.5</v>
      </c>
      <c r="D19" s="146">
        <v>0</v>
      </c>
      <c r="E19" s="147">
        <v>0</v>
      </c>
      <c r="F19" s="146">
        <f>(35+31)/2</f>
        <v>33</v>
      </c>
      <c r="G19" s="146">
        <v>0</v>
      </c>
      <c r="H19" s="146">
        <f>(10+12)/2</f>
        <v>11</v>
      </c>
      <c r="I19" s="146">
        <v>0</v>
      </c>
      <c r="J19" s="146"/>
      <c r="K19" s="146"/>
      <c r="L19" s="148">
        <v>126</v>
      </c>
    </row>
    <row r="20" spans="1:12">
      <c r="A20" s="145" t="s">
        <v>188</v>
      </c>
      <c r="B20" s="146">
        <f>B19*1200</f>
        <v>0</v>
      </c>
      <c r="C20" s="146">
        <f>C19*1200</f>
        <v>22200</v>
      </c>
      <c r="D20" s="146">
        <f>D19*1200</f>
        <v>0</v>
      </c>
      <c r="E20" s="147">
        <f t="shared" ref="E20:K20" si="5">E19*1200</f>
        <v>0</v>
      </c>
      <c r="F20" s="146">
        <f t="shared" si="5"/>
        <v>39600</v>
      </c>
      <c r="G20" s="146">
        <f t="shared" si="5"/>
        <v>0</v>
      </c>
      <c r="H20" s="146">
        <f t="shared" si="5"/>
        <v>13200</v>
      </c>
      <c r="I20" s="146">
        <f t="shared" si="5"/>
        <v>0</v>
      </c>
      <c r="J20" s="146"/>
      <c r="K20" s="146">
        <f t="shared" si="5"/>
        <v>0</v>
      </c>
      <c r="L20" s="148">
        <f>(45*1680)+(81*1200)</f>
        <v>172800</v>
      </c>
    </row>
    <row r="21" spans="1:12" s="144" customFormat="1">
      <c r="A21" s="140" t="s">
        <v>185</v>
      </c>
      <c r="B21" s="150">
        <f>SUM(B20)</f>
        <v>0</v>
      </c>
      <c r="C21" s="150">
        <f>SUM(C20)</f>
        <v>22200</v>
      </c>
      <c r="D21" s="150">
        <f>SUM(D20)</f>
        <v>0</v>
      </c>
      <c r="E21" s="150">
        <f t="shared" ref="E21:I21" si="6">SUM(E20)</f>
        <v>0</v>
      </c>
      <c r="F21" s="150">
        <f t="shared" si="6"/>
        <v>39600</v>
      </c>
      <c r="G21" s="150">
        <f t="shared" si="6"/>
        <v>0</v>
      </c>
      <c r="H21" s="150">
        <f t="shared" si="6"/>
        <v>13200</v>
      </c>
      <c r="I21" s="150">
        <f t="shared" si="6"/>
        <v>0</v>
      </c>
      <c r="J21" s="150"/>
      <c r="K21" s="150"/>
      <c r="L21" s="152">
        <f>SUM(L20)</f>
        <v>172800</v>
      </c>
    </row>
    <row r="22" spans="1:12" s="144" customFormat="1" ht="9.9499999999999993" customHeight="1">
      <c r="A22" s="140"/>
      <c r="B22" s="150"/>
      <c r="C22" s="150"/>
      <c r="D22" s="150"/>
      <c r="E22" s="151"/>
      <c r="F22" s="150"/>
      <c r="G22" s="150"/>
      <c r="H22" s="150"/>
      <c r="I22" s="150"/>
      <c r="J22" s="150"/>
      <c r="K22" s="150"/>
      <c r="L22" s="152"/>
    </row>
    <row r="23" spans="1:12" s="156" customFormat="1">
      <c r="A23" s="153" t="s">
        <v>189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1"/>
      <c r="L23" s="155"/>
    </row>
    <row r="24" spans="1:12" s="160" customFormat="1">
      <c r="A24" s="157" t="s">
        <v>187</v>
      </c>
      <c r="B24" s="147">
        <f>B25/340</f>
        <v>2.1</v>
      </c>
      <c r="C24" s="147">
        <f>C25/340</f>
        <v>5.8</v>
      </c>
      <c r="D24" s="147">
        <f>D25/340</f>
        <v>3.6</v>
      </c>
      <c r="E24" s="147">
        <f t="shared" ref="E24:I24" si="7">E25/340</f>
        <v>6.6</v>
      </c>
      <c r="F24" s="147">
        <f t="shared" si="7"/>
        <v>6</v>
      </c>
      <c r="G24" s="147">
        <f t="shared" si="7"/>
        <v>12.7</v>
      </c>
      <c r="H24" s="147">
        <f t="shared" si="7"/>
        <v>4.5</v>
      </c>
      <c r="I24" s="147">
        <f t="shared" si="7"/>
        <v>7</v>
      </c>
      <c r="J24" s="147"/>
      <c r="K24" s="154"/>
      <c r="L24" s="158"/>
    </row>
    <row r="25" spans="1:12" s="160" customFormat="1">
      <c r="A25" s="157" t="s">
        <v>190</v>
      </c>
      <c r="B25" s="147">
        <f>272+442</f>
        <v>714</v>
      </c>
      <c r="C25" s="147">
        <f>1224+748</f>
        <v>1972</v>
      </c>
      <c r="D25" s="147">
        <f>544+680</f>
        <v>1224</v>
      </c>
      <c r="E25" s="147">
        <f>816+1428</f>
        <v>2244</v>
      </c>
      <c r="F25" s="147">
        <f>1088+952</f>
        <v>2040</v>
      </c>
      <c r="G25" s="147">
        <f>1768+2550</f>
        <v>4318</v>
      </c>
      <c r="H25" s="147">
        <f>680+850</f>
        <v>1530</v>
      </c>
      <c r="I25" s="147">
        <f>1088+1292</f>
        <v>2380</v>
      </c>
      <c r="J25" s="147"/>
      <c r="K25" s="147"/>
      <c r="L25" s="158"/>
    </row>
    <row r="26" spans="1:12" s="156" customFormat="1">
      <c r="A26" s="161" t="s">
        <v>29</v>
      </c>
      <c r="B26" s="151">
        <f>SUM(B25)</f>
        <v>714</v>
      </c>
      <c r="C26" s="151">
        <f>SUM(C25)</f>
        <v>1972</v>
      </c>
      <c r="D26" s="151">
        <f>SUM(D25)</f>
        <v>1224</v>
      </c>
      <c r="E26" s="151">
        <f t="shared" ref="E26:L26" si="8">SUM(E25)</f>
        <v>2244</v>
      </c>
      <c r="F26" s="151">
        <f t="shared" si="8"/>
        <v>2040</v>
      </c>
      <c r="G26" s="151">
        <f t="shared" si="8"/>
        <v>4318</v>
      </c>
      <c r="H26" s="151">
        <f t="shared" si="8"/>
        <v>1530</v>
      </c>
      <c r="I26" s="151">
        <f t="shared" si="8"/>
        <v>2380</v>
      </c>
      <c r="J26" s="151"/>
      <c r="K26" s="151">
        <f t="shared" si="8"/>
        <v>0</v>
      </c>
      <c r="L26" s="162">
        <f t="shared" si="8"/>
        <v>0</v>
      </c>
    </row>
    <row r="27" spans="1:12" s="144" customFormat="1" ht="9.9499999999999993" customHeight="1">
      <c r="A27" s="163"/>
      <c r="B27" s="150"/>
      <c r="C27" s="150"/>
      <c r="D27" s="150"/>
      <c r="E27" s="151"/>
      <c r="F27" s="150"/>
      <c r="G27" s="150"/>
      <c r="H27" s="150"/>
      <c r="I27" s="150"/>
      <c r="J27" s="150"/>
      <c r="K27" s="150"/>
      <c r="L27" s="152"/>
    </row>
    <row r="28" spans="1:12" s="144" customFormat="1">
      <c r="A28" s="140" t="s">
        <v>191</v>
      </c>
      <c r="B28" s="141"/>
      <c r="C28" s="141"/>
      <c r="D28" s="141"/>
      <c r="E28" s="142"/>
      <c r="F28" s="141"/>
      <c r="G28" s="141"/>
      <c r="H28" s="141"/>
      <c r="I28" s="141"/>
      <c r="J28" s="141"/>
      <c r="K28" s="164"/>
      <c r="L28" s="143"/>
    </row>
    <row r="29" spans="1:12">
      <c r="A29" s="145" t="s">
        <v>187</v>
      </c>
      <c r="B29" s="146">
        <f>(138+143)/2</f>
        <v>140.5</v>
      </c>
      <c r="C29" s="146">
        <f>(581+709)/2</f>
        <v>645</v>
      </c>
      <c r="D29" s="147">
        <f>(275-23+334-16)/2</f>
        <v>285</v>
      </c>
      <c r="E29" s="147">
        <f>(261-9+294-5)/2</f>
        <v>270.5</v>
      </c>
      <c r="F29" s="147">
        <f>(571+597)/2</f>
        <v>584</v>
      </c>
      <c r="G29" s="147">
        <f>(678-70+784-51)/2</f>
        <v>670.5</v>
      </c>
      <c r="H29" s="146">
        <f>(245+291)/2</f>
        <v>268</v>
      </c>
      <c r="I29" s="146">
        <f>(459+412)/2</f>
        <v>435.5</v>
      </c>
      <c r="J29" s="146"/>
      <c r="K29" s="146"/>
      <c r="L29" s="148">
        <f>(9+5+23+16+70+51)/2</f>
        <v>87</v>
      </c>
    </row>
    <row r="30" spans="1:12">
      <c r="A30" s="145" t="s">
        <v>192</v>
      </c>
      <c r="B30" s="146">
        <f>B29*60</f>
        <v>8430</v>
      </c>
      <c r="C30" s="146">
        <f>C29*60</f>
        <v>38700</v>
      </c>
      <c r="D30" s="147">
        <f>D29*60</f>
        <v>17100</v>
      </c>
      <c r="E30" s="147">
        <f t="shared" ref="E30:L30" si="9">E29*60</f>
        <v>16230</v>
      </c>
      <c r="F30" s="147">
        <f t="shared" si="9"/>
        <v>35040</v>
      </c>
      <c r="G30" s="147">
        <f t="shared" si="9"/>
        <v>40230</v>
      </c>
      <c r="H30" s="146">
        <f t="shared" si="9"/>
        <v>16080</v>
      </c>
      <c r="I30" s="146">
        <f t="shared" si="9"/>
        <v>26130</v>
      </c>
      <c r="J30" s="146"/>
      <c r="K30" s="146">
        <f t="shared" si="9"/>
        <v>0</v>
      </c>
      <c r="L30" s="148">
        <f t="shared" si="9"/>
        <v>5220</v>
      </c>
    </row>
    <row r="31" spans="1:12" s="144" customFormat="1">
      <c r="A31" s="140" t="s">
        <v>185</v>
      </c>
      <c r="B31" s="150">
        <f>SUM(B30)</f>
        <v>8430</v>
      </c>
      <c r="C31" s="150">
        <f t="shared" ref="C31:L31" si="10">SUM(C30)</f>
        <v>38700</v>
      </c>
      <c r="D31" s="151">
        <f>SUM(D30)</f>
        <v>17100</v>
      </c>
      <c r="E31" s="151">
        <f t="shared" si="10"/>
        <v>16230</v>
      </c>
      <c r="F31" s="151">
        <f t="shared" si="10"/>
        <v>35040</v>
      </c>
      <c r="G31" s="151">
        <f t="shared" si="10"/>
        <v>40230</v>
      </c>
      <c r="H31" s="150">
        <f t="shared" si="10"/>
        <v>16080</v>
      </c>
      <c r="I31" s="150">
        <f t="shared" ref="I31" si="11">SUM(I30)</f>
        <v>26130</v>
      </c>
      <c r="J31" s="150"/>
      <c r="K31" s="150"/>
      <c r="L31" s="152">
        <f t="shared" si="10"/>
        <v>5220</v>
      </c>
    </row>
    <row r="32" spans="1:12">
      <c r="A32" s="165"/>
      <c r="B32" s="166"/>
      <c r="C32" s="166"/>
      <c r="D32" s="166"/>
      <c r="E32" s="167"/>
      <c r="F32" s="166"/>
      <c r="G32" s="166"/>
      <c r="H32" s="166"/>
      <c r="I32" s="166"/>
      <c r="J32" s="166"/>
      <c r="K32" s="166"/>
      <c r="L32" s="168"/>
    </row>
    <row r="33" spans="1:12" s="144" customFormat="1" ht="24">
      <c r="A33" s="17" t="s">
        <v>193</v>
      </c>
      <c r="B33" s="141"/>
      <c r="C33" s="141"/>
      <c r="D33" s="141"/>
      <c r="E33" s="142"/>
      <c r="F33" s="141"/>
      <c r="G33" s="141"/>
      <c r="H33" s="141"/>
      <c r="I33" s="141"/>
      <c r="J33" s="141"/>
      <c r="K33" s="150"/>
      <c r="L33" s="143"/>
    </row>
    <row r="34" spans="1:12">
      <c r="A34" s="145" t="s">
        <v>181</v>
      </c>
      <c r="B34" s="146">
        <f>B7+B8+B19</f>
        <v>222.5</v>
      </c>
      <c r="C34" s="146">
        <f>C7+C8+C19</f>
        <v>967</v>
      </c>
      <c r="D34" s="146">
        <f>D7+D8+D19</f>
        <v>488.5</v>
      </c>
      <c r="E34" s="147">
        <f t="shared" ref="E34:L34" si="12">E7+E8+E19</f>
        <v>573</v>
      </c>
      <c r="F34" s="146">
        <f t="shared" si="12"/>
        <v>909.5</v>
      </c>
      <c r="G34" s="146">
        <f t="shared" si="12"/>
        <v>1417.5</v>
      </c>
      <c r="H34" s="146">
        <f t="shared" si="12"/>
        <v>490.5</v>
      </c>
      <c r="I34" s="146">
        <f t="shared" si="12"/>
        <v>618</v>
      </c>
      <c r="J34" s="146"/>
      <c r="K34" s="146">
        <f t="shared" si="12"/>
        <v>0</v>
      </c>
      <c r="L34" s="148">
        <f t="shared" si="12"/>
        <v>126</v>
      </c>
    </row>
    <row r="35" spans="1:12">
      <c r="A35" s="145" t="s">
        <v>194</v>
      </c>
      <c r="B35" s="146">
        <f>B34*11.9</f>
        <v>2647.75</v>
      </c>
      <c r="C35" s="146">
        <f>C34*11.9</f>
        <v>11507.300000000001</v>
      </c>
      <c r="D35" s="146">
        <f>D34*11.9</f>
        <v>5813.1500000000005</v>
      </c>
      <c r="E35" s="147">
        <f>E34*11.9</f>
        <v>6818.7</v>
      </c>
      <c r="F35" s="146">
        <f t="shared" ref="F35:L35" si="13">F34*11.9</f>
        <v>10823.050000000001</v>
      </c>
      <c r="G35" s="146">
        <f t="shared" si="13"/>
        <v>16868.25</v>
      </c>
      <c r="H35" s="146">
        <f t="shared" si="13"/>
        <v>5836.95</v>
      </c>
      <c r="I35" s="146">
        <f t="shared" si="13"/>
        <v>7354.2</v>
      </c>
      <c r="J35" s="146"/>
      <c r="K35" s="146">
        <f t="shared" si="13"/>
        <v>0</v>
      </c>
      <c r="L35" s="148">
        <f t="shared" si="13"/>
        <v>1499.4</v>
      </c>
    </row>
    <row r="36" spans="1:12" s="144" customFormat="1">
      <c r="A36" s="140" t="s">
        <v>185</v>
      </c>
      <c r="B36" s="150">
        <f>SUM(B35)</f>
        <v>2647.75</v>
      </c>
      <c r="C36" s="150">
        <f t="shared" ref="C36:I36" si="14">SUM(C35)</f>
        <v>11507.300000000001</v>
      </c>
      <c r="D36" s="150">
        <f>SUM(D35)</f>
        <v>5813.1500000000005</v>
      </c>
      <c r="E36" s="151">
        <f t="shared" si="14"/>
        <v>6818.7</v>
      </c>
      <c r="F36" s="150">
        <f t="shared" si="14"/>
        <v>10823.050000000001</v>
      </c>
      <c r="G36" s="150">
        <f t="shared" si="14"/>
        <v>16868.25</v>
      </c>
      <c r="H36" s="150">
        <f t="shared" si="14"/>
        <v>5836.95</v>
      </c>
      <c r="I36" s="150">
        <f t="shared" si="14"/>
        <v>7354.2</v>
      </c>
      <c r="J36" s="150"/>
      <c r="K36" s="150"/>
      <c r="L36" s="152">
        <f>SUM(L35)</f>
        <v>1499.4</v>
      </c>
    </row>
    <row r="37" spans="1:12" ht="9.9499999999999993" customHeight="1">
      <c r="A37" s="165"/>
      <c r="B37" s="166"/>
      <c r="C37" s="166"/>
      <c r="D37" s="166"/>
      <c r="E37" s="167"/>
      <c r="F37" s="166"/>
      <c r="G37" s="166"/>
      <c r="H37" s="166"/>
      <c r="I37" s="166"/>
      <c r="J37" s="166"/>
      <c r="K37" s="166"/>
      <c r="L37" s="168"/>
    </row>
    <row r="38" spans="1:12" s="144" customFormat="1">
      <c r="A38" s="140" t="s">
        <v>195</v>
      </c>
      <c r="B38" s="142"/>
      <c r="C38" s="141"/>
      <c r="D38" s="142"/>
      <c r="E38" s="142"/>
      <c r="F38" s="142"/>
      <c r="G38" s="142"/>
      <c r="H38" s="141"/>
      <c r="I38" s="141"/>
      <c r="J38" s="141"/>
      <c r="K38" s="150"/>
      <c r="L38" s="169"/>
    </row>
    <row r="39" spans="1:12">
      <c r="A39" s="145" t="s">
        <v>181</v>
      </c>
      <c r="B39" s="146">
        <f>(43+50)/2</f>
        <v>46.5</v>
      </c>
      <c r="C39" s="146">
        <v>0</v>
      </c>
      <c r="D39" s="146">
        <v>0</v>
      </c>
      <c r="E39" s="147">
        <v>0</v>
      </c>
      <c r="F39" s="146">
        <v>0</v>
      </c>
      <c r="G39" s="146">
        <v>0</v>
      </c>
      <c r="H39" s="146">
        <v>0</v>
      </c>
      <c r="I39" s="146">
        <f>(115+120)/2</f>
        <v>117.5</v>
      </c>
      <c r="J39" s="146">
        <f>(173+160+104+100+79+61)/2</f>
        <v>338.5</v>
      </c>
      <c r="K39" s="146">
        <f>(293+269+178+180+755+739)/2</f>
        <v>1207</v>
      </c>
      <c r="L39" s="148">
        <v>0</v>
      </c>
    </row>
    <row r="40" spans="1:12">
      <c r="A40" s="145" t="s">
        <v>196</v>
      </c>
      <c r="B40" s="146">
        <f>B39*116.5</f>
        <v>5417.25</v>
      </c>
      <c r="C40" s="146">
        <f>C39*116.5</f>
        <v>0</v>
      </c>
      <c r="D40" s="146">
        <f>D39*116.5</f>
        <v>0</v>
      </c>
      <c r="E40" s="146">
        <f t="shared" ref="E40:L40" si="15">E39*116.5</f>
        <v>0</v>
      </c>
      <c r="F40" s="146">
        <f t="shared" si="15"/>
        <v>0</v>
      </c>
      <c r="G40" s="146">
        <f t="shared" si="15"/>
        <v>0</v>
      </c>
      <c r="H40" s="146">
        <f t="shared" si="15"/>
        <v>0</v>
      </c>
      <c r="I40" s="146">
        <f t="shared" si="15"/>
        <v>13688.75</v>
      </c>
      <c r="J40" s="146">
        <f t="shared" si="15"/>
        <v>39435.25</v>
      </c>
      <c r="K40" s="146">
        <f t="shared" si="15"/>
        <v>140615.5</v>
      </c>
      <c r="L40" s="148">
        <f t="shared" si="15"/>
        <v>0</v>
      </c>
    </row>
    <row r="41" spans="1:12" s="144" customFormat="1">
      <c r="A41" s="140" t="s">
        <v>185</v>
      </c>
      <c r="B41" s="150">
        <f>SUM(B40)</f>
        <v>5417.25</v>
      </c>
      <c r="C41" s="150">
        <f>SUM(C40)</f>
        <v>0</v>
      </c>
      <c r="D41" s="151">
        <f>SUM(D40)</f>
        <v>0</v>
      </c>
      <c r="E41" s="151">
        <f>SUM(E40)</f>
        <v>0</v>
      </c>
      <c r="F41" s="151">
        <f t="shared" ref="F41:G41" si="16">SUM(F40)</f>
        <v>0</v>
      </c>
      <c r="G41" s="151">
        <f t="shared" si="16"/>
        <v>0</v>
      </c>
      <c r="H41" s="150">
        <f>SUM(H40)</f>
        <v>0</v>
      </c>
      <c r="I41" s="150">
        <f>SUM(I40)</f>
        <v>13688.75</v>
      </c>
      <c r="J41" s="150">
        <f>SUM(J40)</f>
        <v>39435.25</v>
      </c>
      <c r="K41" s="150">
        <f>SUM(K40)</f>
        <v>140615.5</v>
      </c>
      <c r="L41" s="152">
        <f>SUM(L40)</f>
        <v>0</v>
      </c>
    </row>
    <row r="42" spans="1:12" ht="9" customHeight="1">
      <c r="A42" s="165"/>
      <c r="B42" s="166"/>
      <c r="C42" s="166"/>
      <c r="D42" s="166"/>
      <c r="E42" s="167"/>
      <c r="F42" s="166"/>
      <c r="G42" s="166"/>
      <c r="H42" s="166"/>
      <c r="I42" s="166"/>
      <c r="J42" s="166"/>
      <c r="K42" s="166"/>
      <c r="L42" s="168"/>
    </row>
    <row r="43" spans="1:12" s="144" customFormat="1">
      <c r="A43" s="17" t="s">
        <v>197</v>
      </c>
      <c r="B43" s="150"/>
      <c r="C43" s="150"/>
      <c r="D43" s="150"/>
      <c r="E43" s="151"/>
      <c r="F43" s="150"/>
      <c r="G43" s="150"/>
      <c r="H43" s="150"/>
      <c r="I43" s="150"/>
      <c r="J43" s="150"/>
      <c r="K43" s="150"/>
      <c r="L43" s="152"/>
    </row>
    <row r="44" spans="1:12">
      <c r="A44" s="145" t="s">
        <v>181</v>
      </c>
      <c r="B44" s="146"/>
      <c r="C44" s="146"/>
      <c r="D44" s="146"/>
      <c r="E44" s="147"/>
      <c r="F44" s="146"/>
      <c r="G44" s="146"/>
      <c r="H44" s="146"/>
      <c r="I44" s="146"/>
      <c r="J44" s="146"/>
      <c r="K44" s="166"/>
      <c r="L44" s="148"/>
    </row>
    <row r="45" spans="1:12" s="144" customFormat="1">
      <c r="A45" s="140" t="s">
        <v>185</v>
      </c>
      <c r="B45" s="150"/>
      <c r="C45" s="150"/>
      <c r="D45" s="150"/>
      <c r="E45" s="151"/>
      <c r="F45" s="150"/>
      <c r="G45" s="150"/>
      <c r="H45" s="150"/>
      <c r="I45" s="150"/>
      <c r="J45" s="150"/>
      <c r="K45" s="150"/>
      <c r="L45" s="152"/>
    </row>
    <row r="46" spans="1:12" ht="24" customHeight="1" thickBot="1">
      <c r="A46" s="170" t="s">
        <v>198</v>
      </c>
      <c r="B46" s="171">
        <f t="shared" ref="B46:L46" si="17">B11+B16+B21+B26+B31+B36+B41</f>
        <v>43882.724999999999</v>
      </c>
      <c r="C46" s="171">
        <f t="shared" si="17"/>
        <v>188739.08499999999</v>
      </c>
      <c r="D46" s="171">
        <f t="shared" si="17"/>
        <v>84025.334999999992</v>
      </c>
      <c r="E46" s="171">
        <f t="shared" si="17"/>
        <v>94753.83</v>
      </c>
      <c r="F46" s="171">
        <f t="shared" si="17"/>
        <v>193180.51499999998</v>
      </c>
      <c r="G46" s="171">
        <f t="shared" si="17"/>
        <v>232599.92499999999</v>
      </c>
      <c r="H46" s="171">
        <f t="shared" si="17"/>
        <v>94414.844999999987</v>
      </c>
      <c r="I46" s="171">
        <f t="shared" si="17"/>
        <v>124255.53</v>
      </c>
      <c r="J46" s="171">
        <f t="shared" si="17"/>
        <v>39435.25</v>
      </c>
      <c r="K46" s="171">
        <f t="shared" si="17"/>
        <v>140615.5</v>
      </c>
      <c r="L46" s="172">
        <f t="shared" si="17"/>
        <v>179519.4</v>
      </c>
    </row>
    <row r="47" spans="1:12" s="173" customFormat="1" ht="12">
      <c r="C47" s="174"/>
      <c r="D47" s="174"/>
      <c r="E47" s="175"/>
      <c r="F47" s="174"/>
      <c r="G47" s="174"/>
      <c r="H47" s="174"/>
      <c r="I47" s="174"/>
      <c r="J47" s="174"/>
      <c r="K47" s="174"/>
      <c r="L47" s="174"/>
    </row>
    <row r="48" spans="1:12">
      <c r="C48" s="149"/>
      <c r="D48" s="149"/>
      <c r="E48" s="159"/>
      <c r="F48" s="149"/>
      <c r="G48" s="149"/>
      <c r="H48" s="149"/>
      <c r="I48" s="149"/>
      <c r="J48" s="149"/>
      <c r="K48" s="149"/>
      <c r="L48" s="149"/>
    </row>
    <row r="55" spans="8:11">
      <c r="H55" s="149"/>
      <c r="I55" s="149"/>
      <c r="J55" s="149"/>
      <c r="K55" s="149"/>
    </row>
  </sheetData>
  <mergeCells count="13">
    <mergeCell ref="J4:J5"/>
    <mergeCell ref="K4:K5"/>
    <mergeCell ref="L4:L5"/>
    <mergeCell ref="A2:L2"/>
    <mergeCell ref="A4:A5"/>
    <mergeCell ref="C4:C5"/>
    <mergeCell ref="B4:B5"/>
    <mergeCell ref="E4:E5"/>
    <mergeCell ref="D4:D5"/>
    <mergeCell ref="F4:F5"/>
    <mergeCell ref="G4:G5"/>
    <mergeCell ref="H4:H5"/>
    <mergeCell ref="I4:I5"/>
  </mergeCells>
  <printOptions horizontalCentered="1" verticalCentered="1"/>
  <pageMargins left="0.39370078740157483" right="0.39370078740157483" top="0.35433070866141736" bottom="0" header="0.11811023622047245" footer="0"/>
  <pageSetup paperSize="9" scale="90" orientation="landscape" r:id="rId1"/>
  <headerFooter>
    <oddHeader>&amp;R&amp;"Times New Roman,Félkövér dőlt"
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topLeftCell="A4" workbookViewId="0">
      <selection activeCell="K18" sqref="K18"/>
    </sheetView>
  </sheetViews>
  <sheetFormatPr defaultColWidth="17.7109375" defaultRowHeight="12.75"/>
  <cols>
    <col min="1" max="2" width="9.140625" style="33" customWidth="1"/>
    <col min="3" max="3" width="17.28515625" style="33" customWidth="1"/>
    <col min="4" max="4" width="15.7109375" style="33" customWidth="1"/>
    <col min="5" max="5" width="14" style="35" customWidth="1"/>
    <col min="6" max="6" width="9.5703125" style="35" customWidth="1"/>
    <col min="7" max="7" width="10.7109375" style="35" customWidth="1"/>
    <col min="8" max="9" width="9.140625" style="35" customWidth="1"/>
    <col min="10" max="10" width="11" style="35" customWidth="1"/>
    <col min="11" max="11" width="11.7109375" style="35" customWidth="1"/>
    <col min="12" max="45" width="9.140625" style="35" customWidth="1"/>
    <col min="46" max="238" width="9.140625" style="33" customWidth="1"/>
    <col min="239" max="239" width="3.42578125" style="33" customWidth="1"/>
    <col min="240" max="241" width="9.140625" style="33" customWidth="1"/>
    <col min="242" max="16384" width="17.7109375" style="33"/>
  </cols>
  <sheetData>
    <row r="1" spans="1:45" ht="15">
      <c r="F1" s="415" t="s">
        <v>80</v>
      </c>
      <c r="G1" s="416"/>
      <c r="H1" s="416"/>
      <c r="I1" s="416"/>
      <c r="J1" s="416"/>
      <c r="K1" s="416"/>
    </row>
    <row r="2" spans="1:45" ht="15">
      <c r="G2" s="37"/>
    </row>
    <row r="3" spans="1:45" ht="42.75" customHeight="1">
      <c r="A3" s="429" t="s">
        <v>172</v>
      </c>
      <c r="B3" s="429"/>
      <c r="C3" s="429"/>
      <c r="D3" s="429"/>
      <c r="E3" s="430"/>
      <c r="F3" s="416"/>
      <c r="G3" s="416"/>
      <c r="H3" s="416"/>
      <c r="I3" s="416"/>
      <c r="J3" s="416"/>
      <c r="K3" s="416"/>
    </row>
    <row r="4" spans="1:45" ht="35.25" customHeight="1" thickBot="1">
      <c r="A4" s="38"/>
      <c r="B4" s="38"/>
      <c r="C4" s="38"/>
      <c r="G4" s="431" t="s">
        <v>2</v>
      </c>
      <c r="H4" s="432"/>
      <c r="I4" s="432"/>
      <c r="J4" s="432"/>
      <c r="K4" s="432"/>
    </row>
    <row r="5" spans="1:45" s="34" customFormat="1" ht="33.75" customHeight="1">
      <c r="A5" s="425" t="s">
        <v>41</v>
      </c>
      <c r="B5" s="426"/>
      <c r="C5" s="426"/>
      <c r="D5" s="421" t="s">
        <v>71</v>
      </c>
      <c r="E5" s="421" t="s">
        <v>73</v>
      </c>
      <c r="F5" s="421" t="s">
        <v>72</v>
      </c>
      <c r="G5" s="421" t="s">
        <v>20</v>
      </c>
      <c r="H5" s="419" t="s">
        <v>235</v>
      </c>
      <c r="I5" s="420"/>
      <c r="J5" s="421" t="s">
        <v>243</v>
      </c>
      <c r="K5" s="417" t="s">
        <v>236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s="34" customFormat="1" ht="18" customHeight="1">
      <c r="A6" s="427"/>
      <c r="B6" s="428"/>
      <c r="C6" s="428"/>
      <c r="D6" s="428"/>
      <c r="E6" s="428"/>
      <c r="F6" s="428"/>
      <c r="G6" s="428"/>
      <c r="H6" s="198">
        <v>0.02</v>
      </c>
      <c r="I6" s="198">
        <v>0.2</v>
      </c>
      <c r="J6" s="422"/>
      <c r="K6" s="41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s="44" customFormat="1" ht="15.95" customHeight="1">
      <c r="A7" s="423">
        <v>1</v>
      </c>
      <c r="B7" s="424"/>
      <c r="C7" s="424"/>
      <c r="D7" s="266">
        <v>2</v>
      </c>
      <c r="E7" s="266">
        <v>3</v>
      </c>
      <c r="F7" s="266">
        <v>4</v>
      </c>
      <c r="G7" s="266">
        <v>5</v>
      </c>
      <c r="H7" s="41">
        <v>6</v>
      </c>
      <c r="I7" s="41">
        <v>7</v>
      </c>
      <c r="J7" s="41">
        <v>8</v>
      </c>
      <c r="K7" s="42">
        <v>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s="45" customFormat="1" ht="24.95" customHeight="1">
      <c r="A8" s="410" t="s">
        <v>36</v>
      </c>
      <c r="B8" s="411"/>
      <c r="C8" s="411"/>
      <c r="D8" s="54">
        <v>18</v>
      </c>
      <c r="E8" s="54">
        <v>18</v>
      </c>
      <c r="F8" s="54">
        <f>D8+E8</f>
        <v>36</v>
      </c>
      <c r="G8" s="54">
        <v>16303.95</v>
      </c>
      <c r="H8" s="176">
        <f>G8*2%</f>
        <v>326.07900000000001</v>
      </c>
      <c r="I8" s="176"/>
      <c r="J8" s="176"/>
      <c r="K8" s="92">
        <f>G8-H8</f>
        <v>15977.871000000001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s="45" customFormat="1" ht="24.95" customHeight="1">
      <c r="A9" s="410" t="s">
        <v>43</v>
      </c>
      <c r="B9" s="412"/>
      <c r="C9" s="412"/>
      <c r="D9" s="51">
        <f>1+7+3+17</f>
        <v>28</v>
      </c>
      <c r="E9" s="51">
        <v>34</v>
      </c>
      <c r="F9" s="54">
        <f t="shared" ref="F9:F14" si="0">D9+E9</f>
        <v>62</v>
      </c>
      <c r="G9" s="54">
        <f>10265.45+603.9+4227+1811.6</f>
        <v>16907.95</v>
      </c>
      <c r="H9" s="176"/>
      <c r="I9" s="176">
        <f>G9*20%</f>
        <v>3381.59</v>
      </c>
      <c r="J9" s="176">
        <v>5072</v>
      </c>
      <c r="K9" s="92">
        <f>G9-I9-J9</f>
        <v>8454.36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45" customFormat="1" ht="24.95" customHeight="1">
      <c r="A10" s="410" t="s">
        <v>44</v>
      </c>
      <c r="B10" s="412"/>
      <c r="C10" s="412"/>
      <c r="D10" s="51">
        <f>5+5</f>
        <v>10</v>
      </c>
      <c r="E10" s="51">
        <v>8</v>
      </c>
      <c r="F10" s="54">
        <f t="shared" si="0"/>
        <v>18</v>
      </c>
      <c r="G10" s="54">
        <f>4528.9+4528.88</f>
        <v>9057.7799999999988</v>
      </c>
      <c r="H10" s="176"/>
      <c r="I10" s="176">
        <f>G10*20%</f>
        <v>1811.5559999999998</v>
      </c>
      <c r="J10" s="176">
        <v>2717</v>
      </c>
      <c r="K10" s="92">
        <f>G10-I10-J10</f>
        <v>4529.2239999999993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s="45" customFormat="1" ht="24.95" customHeight="1">
      <c r="A11" s="410" t="s">
        <v>35</v>
      </c>
      <c r="B11" s="411"/>
      <c r="C11" s="411"/>
      <c r="D11" s="51">
        <v>31</v>
      </c>
      <c r="E11" s="51">
        <v>13</v>
      </c>
      <c r="F11" s="54">
        <f t="shared" si="0"/>
        <v>44</v>
      </c>
      <c r="G11" s="54">
        <v>28079.02</v>
      </c>
      <c r="H11" s="176">
        <f>G11*2%</f>
        <v>561.58040000000005</v>
      </c>
      <c r="I11" s="176"/>
      <c r="J11" s="176"/>
      <c r="K11" s="92">
        <f>G11-H11</f>
        <v>27517.439600000002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s="46" customFormat="1" ht="24.95" customHeight="1">
      <c r="A12" s="410" t="s">
        <v>45</v>
      </c>
      <c r="B12" s="412"/>
      <c r="C12" s="412"/>
      <c r="D12" s="51">
        <f>1+8+9+6+8+58</f>
        <v>90</v>
      </c>
      <c r="E12" s="51">
        <v>26</v>
      </c>
      <c r="F12" s="54">
        <f t="shared" si="0"/>
        <v>116</v>
      </c>
      <c r="G12" s="54">
        <f>52534.95+905.8+7246.2+8152+5434.7+7246.2</f>
        <v>81519.849999999991</v>
      </c>
      <c r="H12" s="176"/>
      <c r="I12" s="176">
        <f>G12*20%</f>
        <v>16303.97</v>
      </c>
      <c r="J12" s="176">
        <v>24456</v>
      </c>
      <c r="K12" s="92">
        <f>G12-I12-J12</f>
        <v>40759.87999999999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s="46" customFormat="1" ht="24.95" customHeight="1">
      <c r="A13" s="410" t="s">
        <v>34</v>
      </c>
      <c r="B13" s="411"/>
      <c r="C13" s="411"/>
      <c r="D13" s="51">
        <v>12</v>
      </c>
      <c r="E13" s="51">
        <v>5</v>
      </c>
      <c r="F13" s="54">
        <f t="shared" si="0"/>
        <v>17</v>
      </c>
      <c r="G13" s="54">
        <v>10869.3</v>
      </c>
      <c r="H13" s="176">
        <f>G13*2%</f>
        <v>217.386</v>
      </c>
      <c r="I13" s="176"/>
      <c r="J13" s="176"/>
      <c r="K13" s="92">
        <f>G13-H13</f>
        <v>10651.913999999999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s="47" customFormat="1" ht="27.75" customHeight="1" thickBot="1">
      <c r="A14" s="413" t="s">
        <v>1</v>
      </c>
      <c r="B14" s="414"/>
      <c r="C14" s="414"/>
      <c r="D14" s="84">
        <f>SUM(D8:D13)</f>
        <v>189</v>
      </c>
      <c r="E14" s="84">
        <f>SUM(E8:E13)</f>
        <v>104</v>
      </c>
      <c r="F14" s="94">
        <f t="shared" si="0"/>
        <v>293</v>
      </c>
      <c r="G14" s="84">
        <f>SUM(G8:G13)</f>
        <v>162737.84999999998</v>
      </c>
      <c r="H14" s="85">
        <f>SUM(H8:H13)</f>
        <v>1105.0454</v>
      </c>
      <c r="I14" s="85">
        <f>SUM(I8:I13)</f>
        <v>21497.115999999998</v>
      </c>
      <c r="J14" s="85">
        <f>SUM(J8:J13)</f>
        <v>32245</v>
      </c>
      <c r="K14" s="86">
        <f>SUM(K8:K13)</f>
        <v>107890.68859999999</v>
      </c>
      <c r="L14" s="197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</row>
    <row r="15" spans="1:45" s="35" customFormat="1">
      <c r="D15" s="48"/>
    </row>
    <row r="16" spans="1:45" s="35" customFormat="1">
      <c r="D16" s="49"/>
      <c r="E16" s="49"/>
      <c r="G16" s="95"/>
      <c r="K16" s="49"/>
    </row>
    <row r="17" spans="8:11" s="35" customFormat="1"/>
    <row r="18" spans="8:11" s="35" customFormat="1">
      <c r="K18" s="49"/>
    </row>
    <row r="19" spans="8:11" s="35" customFormat="1"/>
    <row r="20" spans="8:11" s="35" customFormat="1">
      <c r="H20" s="49"/>
    </row>
    <row r="21" spans="8:11" s="35" customFormat="1" ht="12" customHeight="1"/>
    <row r="22" spans="8:11" s="35" customFormat="1"/>
    <row r="23" spans="8:11" s="35" customFormat="1"/>
    <row r="24" spans="8:11" s="35" customFormat="1"/>
    <row r="25" spans="8:11" s="35" customFormat="1"/>
    <row r="26" spans="8:11" s="35" customFormat="1"/>
    <row r="27" spans="8:11" s="35" customFormat="1"/>
    <row r="28" spans="8:11" s="35" customFormat="1"/>
    <row r="29" spans="8:11" s="35" customFormat="1"/>
    <row r="30" spans="8:11" s="35" customFormat="1"/>
    <row r="31" spans="8:11" s="35" customFormat="1"/>
    <row r="32" spans="8:11" s="35" customFormat="1"/>
    <row r="33" s="35" customFormat="1"/>
    <row r="34" s="35" customFormat="1"/>
    <row r="35" s="35" customFormat="1"/>
    <row r="36" s="35" customFormat="1"/>
    <row r="37" s="35" customFormat="1"/>
    <row r="38" s="35" customFormat="1"/>
    <row r="39" s="35" customFormat="1"/>
    <row r="40" s="35" customFormat="1"/>
    <row r="41" s="35" customFormat="1"/>
    <row r="42" s="35" customFormat="1"/>
    <row r="43" s="35" customFormat="1"/>
    <row r="44" s="35" customFormat="1"/>
    <row r="45" s="35" customFormat="1"/>
    <row r="46" s="35" customFormat="1"/>
    <row r="47" s="35" customFormat="1"/>
    <row r="48" s="35" customFormat="1"/>
    <row r="49" s="35" customFormat="1"/>
    <row r="50" s="35" customFormat="1"/>
    <row r="51" s="35" customFormat="1"/>
    <row r="52" s="35" customFormat="1"/>
    <row r="53" s="35" customFormat="1"/>
    <row r="54" s="35" customFormat="1"/>
    <row r="55" s="35" customFormat="1"/>
    <row r="56" s="35" customFormat="1"/>
    <row r="57" s="35" customFormat="1"/>
    <row r="58" s="35" customFormat="1"/>
    <row r="59" s="35" customFormat="1"/>
    <row r="60" s="35" customFormat="1"/>
    <row r="61" s="35" customFormat="1"/>
    <row r="62" s="35" customFormat="1"/>
    <row r="63" s="35" customFormat="1"/>
    <row r="64" s="35" customFormat="1"/>
    <row r="65" s="35" customFormat="1"/>
    <row r="66" s="35" customFormat="1"/>
    <row r="67" s="35" customFormat="1"/>
    <row r="68" s="35" customFormat="1"/>
    <row r="69" s="35" customFormat="1"/>
    <row r="70" s="35" customFormat="1"/>
    <row r="71" s="35" customFormat="1"/>
    <row r="72" s="35" customFormat="1"/>
    <row r="73" s="35" customFormat="1"/>
    <row r="74" s="35" customFormat="1"/>
    <row r="75" s="35" customFormat="1"/>
    <row r="76" s="35" customFormat="1"/>
    <row r="77" s="35" customFormat="1"/>
    <row r="78" s="35" customFormat="1"/>
    <row r="79" s="35" customFormat="1"/>
    <row r="80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  <row r="109" s="35" customFormat="1"/>
    <row r="110" s="35" customFormat="1"/>
    <row r="111" s="35" customFormat="1"/>
    <row r="112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</sheetData>
  <mergeCells count="19">
    <mergeCell ref="F1:K1"/>
    <mergeCell ref="K5:K6"/>
    <mergeCell ref="H5:I5"/>
    <mergeCell ref="J5:J6"/>
    <mergeCell ref="A10:C10"/>
    <mergeCell ref="A7:C7"/>
    <mergeCell ref="A8:C8"/>
    <mergeCell ref="A5:C6"/>
    <mergeCell ref="D5:D6"/>
    <mergeCell ref="E5:E6"/>
    <mergeCell ref="F5:F6"/>
    <mergeCell ref="G5:G6"/>
    <mergeCell ref="A3:K3"/>
    <mergeCell ref="G4:K4"/>
    <mergeCell ref="A11:C11"/>
    <mergeCell ref="A12:C12"/>
    <mergeCell ref="A13:C13"/>
    <mergeCell ref="A14:C14"/>
    <mergeCell ref="A9:C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" sqref="L1:M1"/>
    </sheetView>
  </sheetViews>
  <sheetFormatPr defaultRowHeight="15"/>
  <cols>
    <col min="3" max="3" width="21.85546875" customWidth="1"/>
    <col min="4" max="5" width="10.7109375" customWidth="1"/>
    <col min="6" max="6" width="13.7109375" customWidth="1"/>
    <col min="7" max="8" width="10.7109375" customWidth="1"/>
    <col min="9" max="10" width="13.7109375" customWidth="1"/>
    <col min="11" max="11" width="10.7109375" customWidth="1"/>
    <col min="12" max="13" width="13.7109375" customWidth="1"/>
  </cols>
  <sheetData>
    <row r="1" spans="1:13">
      <c r="L1" s="433" t="s">
        <v>53</v>
      </c>
      <c r="M1" s="433"/>
    </row>
    <row r="3" spans="1:13" ht="15.75">
      <c r="A3" s="434" t="s">
        <v>69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ht="15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6.5" thickBot="1">
      <c r="A5" s="38"/>
      <c r="B5" s="38"/>
      <c r="C5" s="38"/>
      <c r="D5" s="38"/>
      <c r="E5" s="38"/>
      <c r="F5" s="38"/>
      <c r="G5" s="55"/>
      <c r="H5" s="55"/>
      <c r="I5" s="39"/>
      <c r="J5" s="32"/>
      <c r="K5" s="32"/>
      <c r="L5" s="32"/>
      <c r="M5" s="32"/>
    </row>
    <row r="6" spans="1:13" ht="94.5">
      <c r="A6" s="435" t="s">
        <v>41</v>
      </c>
      <c r="B6" s="421"/>
      <c r="C6" s="421"/>
      <c r="D6" s="436" t="s">
        <v>170</v>
      </c>
      <c r="E6" s="436"/>
      <c r="F6" s="436"/>
      <c r="G6" s="436" t="s">
        <v>171</v>
      </c>
      <c r="H6" s="436"/>
      <c r="I6" s="436"/>
      <c r="J6" s="436" t="s">
        <v>54</v>
      </c>
      <c r="K6" s="437"/>
      <c r="L6" s="437"/>
      <c r="M6" s="56" t="s">
        <v>55</v>
      </c>
    </row>
    <row r="7" spans="1:13" ht="18" customHeight="1">
      <c r="A7" s="427"/>
      <c r="B7" s="428"/>
      <c r="C7" s="428"/>
      <c r="D7" s="57" t="s">
        <v>56</v>
      </c>
      <c r="E7" s="58" t="s">
        <v>57</v>
      </c>
      <c r="F7" s="59" t="s">
        <v>58</v>
      </c>
      <c r="G7" s="57" t="s">
        <v>59</v>
      </c>
      <c r="H7" s="57" t="s">
        <v>57</v>
      </c>
      <c r="I7" s="59" t="s">
        <v>58</v>
      </c>
      <c r="J7" s="57" t="s">
        <v>2</v>
      </c>
      <c r="K7" s="57" t="s">
        <v>57</v>
      </c>
      <c r="L7" s="59" t="s">
        <v>58</v>
      </c>
      <c r="M7" s="60" t="s">
        <v>58</v>
      </c>
    </row>
    <row r="8" spans="1:13" ht="18" customHeight="1">
      <c r="A8" s="441">
        <v>1</v>
      </c>
      <c r="B8" s="442"/>
      <c r="C8" s="442"/>
      <c r="D8" s="61">
        <v>2</v>
      </c>
      <c r="E8" s="61">
        <v>3</v>
      </c>
      <c r="F8" s="62">
        <v>4</v>
      </c>
      <c r="G8" s="61">
        <v>5</v>
      </c>
      <c r="H8" s="61">
        <v>6</v>
      </c>
      <c r="I8" s="61">
        <v>7</v>
      </c>
      <c r="J8" s="58">
        <v>8</v>
      </c>
      <c r="K8" s="58">
        <v>9</v>
      </c>
      <c r="L8" s="58">
        <v>10</v>
      </c>
      <c r="M8" s="63" t="s">
        <v>60</v>
      </c>
    </row>
    <row r="9" spans="1:13" s="81" customFormat="1" ht="21.95" customHeight="1">
      <c r="A9" s="438" t="s">
        <v>244</v>
      </c>
      <c r="B9" s="439"/>
      <c r="C9" s="439"/>
      <c r="D9" s="78">
        <v>94.37</v>
      </c>
      <c r="E9" s="78">
        <f>D9/D17%</f>
        <v>8.4576088904821667</v>
      </c>
      <c r="F9" s="79">
        <f>1402378*E9%</f>
        <v>118607.64640616601</v>
      </c>
      <c r="G9" s="79">
        <v>913</v>
      </c>
      <c r="H9" s="78">
        <f>G9/G17*100</f>
        <v>7.3368691738990677</v>
      </c>
      <c r="I9" s="79">
        <f>1402378*H9%</f>
        <v>102890.63918354227</v>
      </c>
      <c r="J9" s="79">
        <v>236375</v>
      </c>
      <c r="K9" s="78">
        <f>J9/J17%</f>
        <v>5.6291234594479249</v>
      </c>
      <c r="L9" s="79">
        <f>1402378*K9%</f>
        <v>78941.588988136617</v>
      </c>
      <c r="M9" s="80">
        <f>(F9+I9+L9)/3</f>
        <v>100146.62485928163</v>
      </c>
    </row>
    <row r="10" spans="1:13" s="81" customFormat="1" ht="21.95" customHeight="1">
      <c r="A10" s="438" t="s">
        <v>36</v>
      </c>
      <c r="B10" s="440"/>
      <c r="C10" s="440"/>
      <c r="D10" s="78">
        <v>127.9</v>
      </c>
      <c r="E10" s="78">
        <f>D10/D17%</f>
        <v>11.46262771105933</v>
      </c>
      <c r="F10" s="79">
        <f t="shared" ref="F10:F16" si="0">1402378*E10%</f>
        <v>160749.36924179961</v>
      </c>
      <c r="G10" s="79">
        <v>1483</v>
      </c>
      <c r="H10" s="78">
        <f>G10/G17*100</f>
        <v>11.917389906782386</v>
      </c>
      <c r="I10" s="79">
        <f>1402378*H10%</f>
        <v>167126.85422693667</v>
      </c>
      <c r="J10" s="79">
        <v>293978</v>
      </c>
      <c r="K10" s="78">
        <f>J10/J17%</f>
        <v>7.0009030411912523</v>
      </c>
      <c r="L10" s="79">
        <f>1402378*K10%</f>
        <v>98179.124050997052</v>
      </c>
      <c r="M10" s="80">
        <f t="shared" ref="M10:M16" si="1">(F10+I10+L10)/3</f>
        <v>142018.44917324444</v>
      </c>
    </row>
    <row r="11" spans="1:13" s="81" customFormat="1" ht="21.95" customHeight="1">
      <c r="A11" s="438" t="s">
        <v>61</v>
      </c>
      <c r="B11" s="439"/>
      <c r="C11" s="439"/>
      <c r="D11" s="82">
        <v>179.25</v>
      </c>
      <c r="E11" s="82">
        <f>D11/D17%</f>
        <v>16.064706936727013</v>
      </c>
      <c r="F11" s="79">
        <f t="shared" si="0"/>
        <v>225287.91584513357</v>
      </c>
      <c r="G11" s="83">
        <v>3100</v>
      </c>
      <c r="H11" s="78">
        <f>G11/G17*100</f>
        <v>24.911603985856637</v>
      </c>
      <c r="I11" s="79">
        <f t="shared" ref="I11:I16" si="2">1402378*H11%</f>
        <v>349354.85374477657</v>
      </c>
      <c r="J11" s="83">
        <v>604677</v>
      </c>
      <c r="K11" s="82">
        <f>J11/J17%</f>
        <v>14.400006286995634</v>
      </c>
      <c r="L11" s="79">
        <f t="shared" ref="L11:L16" si="3">1402378*K11%</f>
        <v>201942.52016744364</v>
      </c>
      <c r="M11" s="80">
        <f t="shared" si="1"/>
        <v>258861.76325245129</v>
      </c>
    </row>
    <row r="12" spans="1:13" s="81" customFormat="1" ht="21.95" customHeight="1">
      <c r="A12" s="438" t="s">
        <v>44</v>
      </c>
      <c r="B12" s="439"/>
      <c r="C12" s="439"/>
      <c r="D12" s="82">
        <v>111.5</v>
      </c>
      <c r="E12" s="82">
        <f>D12/D17%</f>
        <v>9.9928302563183369</v>
      </c>
      <c r="F12" s="79">
        <f t="shared" si="0"/>
        <v>140137.25309195198</v>
      </c>
      <c r="G12" s="83">
        <v>1263</v>
      </c>
      <c r="H12" s="78">
        <f>G12/G17*100</f>
        <v>10.14946962391514</v>
      </c>
      <c r="I12" s="79">
        <f t="shared" si="2"/>
        <v>142333.92912246866</v>
      </c>
      <c r="J12" s="83">
        <v>315891</v>
      </c>
      <c r="K12" s="82">
        <f>J12/J17%</f>
        <v>7.5227474932986338</v>
      </c>
      <c r="L12" s="79">
        <f t="shared" si="3"/>
        <v>105497.35584157152</v>
      </c>
      <c r="M12" s="80">
        <f t="shared" si="1"/>
        <v>129322.84601866406</v>
      </c>
    </row>
    <row r="13" spans="1:13" s="81" customFormat="1" ht="21.95" customHeight="1">
      <c r="A13" s="438" t="s">
        <v>35</v>
      </c>
      <c r="B13" s="440"/>
      <c r="C13" s="440"/>
      <c r="D13" s="82">
        <v>169.78</v>
      </c>
      <c r="E13" s="82">
        <f>D13/D17%</f>
        <v>15.21598852841011</v>
      </c>
      <c r="F13" s="79">
        <f t="shared" si="0"/>
        <v>213385.67560494714</v>
      </c>
      <c r="G13" s="83">
        <v>1399</v>
      </c>
      <c r="H13" s="78">
        <f>G13/G17*100</f>
        <v>11.242365798778527</v>
      </c>
      <c r="I13" s="79">
        <f t="shared" si="2"/>
        <v>157660.46464159433</v>
      </c>
      <c r="J13" s="83">
        <v>258849</v>
      </c>
      <c r="K13" s="82">
        <f>J13/J17%</f>
        <v>6.164327777280322</v>
      </c>
      <c r="L13" s="79">
        <f t="shared" si="3"/>
        <v>86447.176596468242</v>
      </c>
      <c r="M13" s="80">
        <f t="shared" si="1"/>
        <v>152497.77228100324</v>
      </c>
    </row>
    <row r="14" spans="1:13" s="81" customFormat="1" ht="21.95" customHeight="1">
      <c r="A14" s="438" t="s">
        <v>62</v>
      </c>
      <c r="B14" s="439"/>
      <c r="C14" s="439"/>
      <c r="D14" s="82">
        <v>215.72</v>
      </c>
      <c r="E14" s="82">
        <f>D14/D17%</f>
        <v>19.333213837605307</v>
      </c>
      <c r="F14" s="79">
        <f t="shared" si="0"/>
        <v>271124.73755153257</v>
      </c>
      <c r="G14" s="83">
        <v>2358</v>
      </c>
      <c r="H14" s="78">
        <f>G14/G17*100</f>
        <v>18.948891031822566</v>
      </c>
      <c r="I14" s="79">
        <f t="shared" si="2"/>
        <v>265735.07907425263</v>
      </c>
      <c r="J14" s="83">
        <v>2047295</v>
      </c>
      <c r="K14" s="82">
        <f>J14/J17%</f>
        <v>48.755055792323382</v>
      </c>
      <c r="L14" s="79">
        <f t="shared" si="3"/>
        <v>683730.17631926876</v>
      </c>
      <c r="M14" s="80">
        <f t="shared" si="1"/>
        <v>406863.33098168467</v>
      </c>
    </row>
    <row r="15" spans="1:13" s="81" customFormat="1" ht="21.95" customHeight="1">
      <c r="A15" s="438" t="s">
        <v>34</v>
      </c>
      <c r="B15" s="440"/>
      <c r="C15" s="440"/>
      <c r="D15" s="82">
        <v>78.52</v>
      </c>
      <c r="E15" s="82">
        <f>D15/D17%</f>
        <v>7.0371034235526082</v>
      </c>
      <c r="F15" s="79">
        <f t="shared" si="0"/>
        <v>98686.790249148602</v>
      </c>
      <c r="G15" s="83">
        <v>557</v>
      </c>
      <c r="H15" s="78">
        <f>G15/G17*100</f>
        <v>4.4760527161684349</v>
      </c>
      <c r="I15" s="79">
        <f t="shared" si="2"/>
        <v>62771.178559948574</v>
      </c>
      <c r="J15" s="83">
        <v>188095</v>
      </c>
      <c r="K15" s="82">
        <f>J15/J17%</f>
        <v>4.4793653182648647</v>
      </c>
      <c r="L15" s="79">
        <f t="shared" si="3"/>
        <v>62817.633762976446</v>
      </c>
      <c r="M15" s="80">
        <f t="shared" si="1"/>
        <v>74758.534190691207</v>
      </c>
    </row>
    <row r="16" spans="1:13" s="81" customFormat="1" ht="21.95" customHeight="1">
      <c r="A16" s="438" t="s">
        <v>46</v>
      </c>
      <c r="B16" s="439"/>
      <c r="C16" s="439"/>
      <c r="D16" s="82">
        <v>138.76</v>
      </c>
      <c r="E16" s="82">
        <f>D16/D17%</f>
        <v>12.435920415845134</v>
      </c>
      <c r="F16" s="79">
        <f t="shared" si="0"/>
        <v>174398.61200932067</v>
      </c>
      <c r="G16" s="83">
        <v>1371</v>
      </c>
      <c r="H16" s="78">
        <f>G16/G17*100</f>
        <v>11.017357762777243</v>
      </c>
      <c r="I16" s="79">
        <f t="shared" si="2"/>
        <v>154505.00144648025</v>
      </c>
      <c r="J16" s="83">
        <v>253984</v>
      </c>
      <c r="K16" s="82">
        <f>J16/J17%</f>
        <v>6.0484708311979771</v>
      </c>
      <c r="L16" s="79">
        <f t="shared" si="3"/>
        <v>84822.424273137571</v>
      </c>
      <c r="M16" s="80">
        <f t="shared" si="1"/>
        <v>137908.6792429795</v>
      </c>
    </row>
    <row r="17" spans="1:13" s="68" customFormat="1" ht="21.95" customHeight="1" thickBot="1">
      <c r="A17" s="413" t="s">
        <v>1</v>
      </c>
      <c r="B17" s="414"/>
      <c r="C17" s="414"/>
      <c r="D17" s="64">
        <f>SUM(D9:D16)</f>
        <v>1115.8</v>
      </c>
      <c r="E17" s="64">
        <f>SUM(E10:E16)</f>
        <v>91.542391109517837</v>
      </c>
      <c r="F17" s="65">
        <f t="shared" ref="F17:M17" si="4">SUM(F9:F16)</f>
        <v>1402378</v>
      </c>
      <c r="G17" s="65">
        <f t="shared" si="4"/>
        <v>12444</v>
      </c>
      <c r="H17" s="66">
        <f t="shared" si="4"/>
        <v>100</v>
      </c>
      <c r="I17" s="76">
        <f t="shared" si="4"/>
        <v>1402377.9999999998</v>
      </c>
      <c r="J17" s="199">
        <f t="shared" si="4"/>
        <v>4199144</v>
      </c>
      <c r="K17" s="77">
        <f t="shared" si="4"/>
        <v>99.999999999999986</v>
      </c>
      <c r="L17" s="67">
        <f t="shared" si="4"/>
        <v>1402377.9999999998</v>
      </c>
      <c r="M17" s="69">
        <f t="shared" si="4"/>
        <v>1402378</v>
      </c>
    </row>
  </sheetData>
  <mergeCells count="16">
    <mergeCell ref="A14:C14"/>
    <mergeCell ref="A15:C15"/>
    <mergeCell ref="A16:C16"/>
    <mergeCell ref="A17:C17"/>
    <mergeCell ref="A8:C8"/>
    <mergeCell ref="A10:C10"/>
    <mergeCell ref="A9:C9"/>
    <mergeCell ref="A11:C11"/>
    <mergeCell ref="A12:C12"/>
    <mergeCell ref="A13:C13"/>
    <mergeCell ref="L1:M1"/>
    <mergeCell ref="A3:M3"/>
    <mergeCell ref="A6:C7"/>
    <mergeCell ref="D6:F6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1"/>
  <sheetViews>
    <sheetView workbookViewId="0">
      <selection activeCell="A5" sqref="A5:L16"/>
    </sheetView>
  </sheetViews>
  <sheetFormatPr defaultColWidth="17.7109375" defaultRowHeight="12.75"/>
  <cols>
    <col min="1" max="2" width="9.140625" style="33" customWidth="1"/>
    <col min="3" max="3" width="17.28515625" style="33" customWidth="1"/>
    <col min="4" max="6" width="10.7109375" style="33" customWidth="1"/>
    <col min="7" max="11" width="10.7109375" style="35" customWidth="1"/>
    <col min="12" max="12" width="9.140625" style="35" customWidth="1"/>
    <col min="13" max="13" width="18.42578125" style="35" customWidth="1"/>
    <col min="14" max="50" width="9.140625" style="35" customWidth="1"/>
    <col min="51" max="243" width="9.140625" style="33" customWidth="1"/>
    <col min="244" max="244" width="3.42578125" style="33" customWidth="1"/>
    <col min="245" max="246" width="9.140625" style="33" customWidth="1"/>
    <col min="247" max="16384" width="17.7109375" style="33"/>
  </cols>
  <sheetData>
    <row r="1" spans="1:50" ht="15">
      <c r="H1" s="36"/>
      <c r="K1" s="433" t="s">
        <v>273</v>
      </c>
      <c r="L1" s="433"/>
    </row>
    <row r="2" spans="1:50" ht="15">
      <c r="J2" s="37"/>
      <c r="K2" s="37"/>
    </row>
    <row r="3" spans="1:50" ht="42.75" customHeight="1">
      <c r="A3" s="443" t="s">
        <v>223</v>
      </c>
      <c r="B3" s="443"/>
      <c r="C3" s="443"/>
      <c r="D3" s="443"/>
      <c r="E3" s="443"/>
      <c r="F3" s="443"/>
      <c r="G3" s="444"/>
      <c r="H3" s="444"/>
      <c r="I3" s="416"/>
      <c r="J3" s="416"/>
      <c r="K3" s="416"/>
      <c r="L3" s="416"/>
    </row>
    <row r="4" spans="1:50" ht="35.25" customHeight="1" thickBot="1">
      <c r="A4" s="38"/>
      <c r="B4" s="38"/>
      <c r="C4" s="38"/>
      <c r="H4" s="39"/>
    </row>
    <row r="5" spans="1:50" s="34" customFormat="1" ht="33.75" customHeight="1">
      <c r="A5" s="425" t="s">
        <v>41</v>
      </c>
      <c r="B5" s="426"/>
      <c r="C5" s="426"/>
      <c r="D5" s="421" t="s">
        <v>71</v>
      </c>
      <c r="E5" s="421"/>
      <c r="F5" s="421" t="s">
        <v>72</v>
      </c>
      <c r="G5" s="421" t="s">
        <v>73</v>
      </c>
      <c r="H5" s="421"/>
      <c r="I5" s="421" t="s">
        <v>72</v>
      </c>
      <c r="J5" s="421" t="s">
        <v>29</v>
      </c>
      <c r="K5" s="421"/>
      <c r="L5" s="445" t="s">
        <v>72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s="34" customFormat="1" ht="34.5" customHeight="1">
      <c r="A6" s="447"/>
      <c r="B6" s="448"/>
      <c r="C6" s="448"/>
      <c r="D6" s="50" t="s">
        <v>74</v>
      </c>
      <c r="E6" s="50" t="s">
        <v>75</v>
      </c>
      <c r="F6" s="428"/>
      <c r="G6" s="50" t="s">
        <v>74</v>
      </c>
      <c r="H6" s="50" t="s">
        <v>75</v>
      </c>
      <c r="I6" s="428"/>
      <c r="J6" s="50" t="s">
        <v>74</v>
      </c>
      <c r="K6" s="50" t="s">
        <v>75</v>
      </c>
      <c r="L6" s="446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s="44" customFormat="1" ht="15.95" customHeight="1">
      <c r="A7" s="423">
        <v>1</v>
      </c>
      <c r="B7" s="424"/>
      <c r="C7" s="424"/>
      <c r="D7" s="266">
        <v>2</v>
      </c>
      <c r="E7" s="266">
        <v>3</v>
      </c>
      <c r="F7" s="266" t="s">
        <v>47</v>
      </c>
      <c r="G7" s="266">
        <v>5</v>
      </c>
      <c r="H7" s="266">
        <v>6</v>
      </c>
      <c r="I7" s="266" t="s">
        <v>76</v>
      </c>
      <c r="J7" s="266" t="s">
        <v>77</v>
      </c>
      <c r="K7" s="266" t="s">
        <v>78</v>
      </c>
      <c r="L7" s="42" t="s">
        <v>79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</row>
    <row r="8" spans="1:50" s="45" customFormat="1" ht="24.95" customHeight="1">
      <c r="A8" s="438" t="s">
        <v>244</v>
      </c>
      <c r="B8" s="439"/>
      <c r="C8" s="439"/>
      <c r="D8" s="54">
        <v>239</v>
      </c>
      <c r="E8" s="54">
        <v>324</v>
      </c>
      <c r="F8" s="54">
        <f>D8+E8</f>
        <v>563</v>
      </c>
      <c r="G8" s="54">
        <v>104</v>
      </c>
      <c r="H8" s="54">
        <v>246</v>
      </c>
      <c r="I8" s="54">
        <f>G8+H8</f>
        <v>350</v>
      </c>
      <c r="J8" s="54">
        <f>D8+G8</f>
        <v>343</v>
      </c>
      <c r="K8" s="54">
        <f>E8+H8</f>
        <v>570</v>
      </c>
      <c r="L8" s="92">
        <f>J8+K8</f>
        <v>913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24.75" customHeight="1">
      <c r="A9" s="410" t="s">
        <v>36</v>
      </c>
      <c r="B9" s="411"/>
      <c r="C9" s="411"/>
      <c r="D9" s="54">
        <v>1021</v>
      </c>
      <c r="E9" s="54">
        <v>172</v>
      </c>
      <c r="F9" s="54">
        <f>D9+E9</f>
        <v>1193</v>
      </c>
      <c r="G9" s="54">
        <v>70</v>
      </c>
      <c r="H9" s="54">
        <v>220</v>
      </c>
      <c r="I9" s="54">
        <f>G9+H9</f>
        <v>290</v>
      </c>
      <c r="J9" s="54">
        <f>D9+G9</f>
        <v>1091</v>
      </c>
      <c r="K9" s="54">
        <f>E9+H9</f>
        <v>392</v>
      </c>
      <c r="L9" s="92">
        <f>J9+K9</f>
        <v>1483</v>
      </c>
    </row>
    <row r="10" spans="1:50" s="45" customFormat="1" ht="24.95" customHeight="1">
      <c r="A10" s="410" t="s">
        <v>43</v>
      </c>
      <c r="B10" s="412"/>
      <c r="C10" s="412"/>
      <c r="D10" s="51">
        <v>511</v>
      </c>
      <c r="E10" s="51">
        <v>957</v>
      </c>
      <c r="F10" s="54">
        <f t="shared" ref="F10:F15" si="0">D10+E10</f>
        <v>1468</v>
      </c>
      <c r="G10" s="51">
        <v>791</v>
      </c>
      <c r="H10" s="51">
        <v>841</v>
      </c>
      <c r="I10" s="54">
        <f t="shared" ref="I10:I15" si="1">G10+H10</f>
        <v>1632</v>
      </c>
      <c r="J10" s="54">
        <f t="shared" ref="J10:K15" si="2">D10+G10</f>
        <v>1302</v>
      </c>
      <c r="K10" s="54">
        <f t="shared" si="2"/>
        <v>1798</v>
      </c>
      <c r="L10" s="92">
        <f t="shared" ref="L10:L15" si="3">J10+K10</f>
        <v>3100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s="45" customFormat="1" ht="24.95" customHeight="1">
      <c r="A11" s="410" t="s">
        <v>44</v>
      </c>
      <c r="B11" s="412"/>
      <c r="C11" s="412"/>
      <c r="D11" s="51">
        <v>589</v>
      </c>
      <c r="E11" s="51">
        <v>220</v>
      </c>
      <c r="F11" s="54">
        <f t="shared" si="0"/>
        <v>809</v>
      </c>
      <c r="G11" s="51">
        <v>225</v>
      </c>
      <c r="H11" s="51">
        <v>229</v>
      </c>
      <c r="I11" s="93">
        <f t="shared" si="1"/>
        <v>454</v>
      </c>
      <c r="J11" s="54">
        <f t="shared" si="2"/>
        <v>814</v>
      </c>
      <c r="K11" s="54">
        <f t="shared" si="2"/>
        <v>449</v>
      </c>
      <c r="L11" s="92">
        <f t="shared" si="3"/>
        <v>1263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s="45" customFormat="1" ht="24.95" customHeight="1">
      <c r="A12" s="410" t="s">
        <v>35</v>
      </c>
      <c r="B12" s="411"/>
      <c r="C12" s="411"/>
      <c r="D12" s="51">
        <v>889</v>
      </c>
      <c r="E12" s="51">
        <v>276</v>
      </c>
      <c r="F12" s="54">
        <f t="shared" si="0"/>
        <v>1165</v>
      </c>
      <c r="G12" s="51">
        <v>110</v>
      </c>
      <c r="H12" s="51">
        <v>124</v>
      </c>
      <c r="I12" s="54">
        <f t="shared" si="1"/>
        <v>234</v>
      </c>
      <c r="J12" s="54">
        <f t="shared" si="2"/>
        <v>999</v>
      </c>
      <c r="K12" s="54">
        <f t="shared" si="2"/>
        <v>400</v>
      </c>
      <c r="L12" s="92">
        <f t="shared" si="3"/>
        <v>1399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s="46" customFormat="1" ht="24.95" customHeight="1">
      <c r="A13" s="410" t="s">
        <v>45</v>
      </c>
      <c r="B13" s="412"/>
      <c r="C13" s="412"/>
      <c r="D13" s="51">
        <v>1502</v>
      </c>
      <c r="E13" s="51">
        <v>307</v>
      </c>
      <c r="F13" s="54">
        <f t="shared" si="0"/>
        <v>1809</v>
      </c>
      <c r="G13" s="51">
        <v>158</v>
      </c>
      <c r="H13" s="51">
        <v>391</v>
      </c>
      <c r="I13" s="54">
        <f t="shared" si="1"/>
        <v>549</v>
      </c>
      <c r="J13" s="54">
        <f t="shared" si="2"/>
        <v>1660</v>
      </c>
      <c r="K13" s="54">
        <f t="shared" si="2"/>
        <v>698</v>
      </c>
      <c r="L13" s="92">
        <f t="shared" si="3"/>
        <v>2358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46" customFormat="1" ht="24.95" customHeight="1">
      <c r="A14" s="410" t="s">
        <v>34</v>
      </c>
      <c r="B14" s="411"/>
      <c r="C14" s="411"/>
      <c r="D14" s="51">
        <v>480</v>
      </c>
      <c r="E14" s="51"/>
      <c r="F14" s="54">
        <f t="shared" si="0"/>
        <v>480</v>
      </c>
      <c r="G14" s="51">
        <v>77</v>
      </c>
      <c r="H14" s="51"/>
      <c r="I14" s="54">
        <f t="shared" si="1"/>
        <v>77</v>
      </c>
      <c r="J14" s="54">
        <f t="shared" si="2"/>
        <v>557</v>
      </c>
      <c r="K14" s="54">
        <f t="shared" si="2"/>
        <v>0</v>
      </c>
      <c r="L14" s="92">
        <f t="shared" si="3"/>
        <v>557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s="45" customFormat="1" ht="24.95" customHeight="1">
      <c r="A15" s="410" t="s">
        <v>46</v>
      </c>
      <c r="B15" s="412"/>
      <c r="C15" s="412"/>
      <c r="D15" s="51">
        <v>691</v>
      </c>
      <c r="E15" s="51">
        <v>2</v>
      </c>
      <c r="F15" s="54">
        <f t="shared" si="0"/>
        <v>693</v>
      </c>
      <c r="G15" s="51">
        <v>304</v>
      </c>
      <c r="H15" s="51">
        <v>374</v>
      </c>
      <c r="I15" s="54">
        <f t="shared" si="1"/>
        <v>678</v>
      </c>
      <c r="J15" s="54">
        <f t="shared" si="2"/>
        <v>995</v>
      </c>
      <c r="K15" s="54">
        <f t="shared" si="2"/>
        <v>376</v>
      </c>
      <c r="L15" s="92">
        <f t="shared" si="3"/>
        <v>1371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 s="47" customFormat="1" ht="27.75" customHeight="1" thickBot="1">
      <c r="A16" s="413" t="s">
        <v>1</v>
      </c>
      <c r="B16" s="414"/>
      <c r="C16" s="414"/>
      <c r="D16" s="84">
        <f t="shared" ref="D16:L16" si="4">SUM(D8:D15)</f>
        <v>5922</v>
      </c>
      <c r="E16" s="84">
        <f t="shared" si="4"/>
        <v>2258</v>
      </c>
      <c r="F16" s="84">
        <f t="shared" si="4"/>
        <v>8180</v>
      </c>
      <c r="G16" s="84">
        <f t="shared" si="4"/>
        <v>1839</v>
      </c>
      <c r="H16" s="84">
        <f t="shared" si="4"/>
        <v>2425</v>
      </c>
      <c r="I16" s="84">
        <f t="shared" si="4"/>
        <v>4264</v>
      </c>
      <c r="J16" s="84">
        <f t="shared" si="4"/>
        <v>7761</v>
      </c>
      <c r="K16" s="84">
        <f t="shared" si="4"/>
        <v>4683</v>
      </c>
      <c r="L16" s="96">
        <f t="shared" si="4"/>
        <v>12444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</row>
    <row r="17" spans="4:12" s="35" customFormat="1" ht="15">
      <c r="D17" s="450"/>
      <c r="E17" s="451"/>
      <c r="F17" s="452"/>
      <c r="G17" s="452"/>
      <c r="H17" s="452"/>
      <c r="I17" s="49"/>
      <c r="L17" s="48"/>
    </row>
    <row r="18" spans="4:12" s="35" customFormat="1" ht="15">
      <c r="D18" s="449"/>
      <c r="E18" s="416"/>
      <c r="F18" s="416"/>
      <c r="G18" s="416"/>
      <c r="L18" s="194"/>
    </row>
    <row r="19" spans="4:12" s="35" customFormat="1">
      <c r="D19" s="49"/>
      <c r="F19" s="49"/>
      <c r="L19" s="49"/>
    </row>
    <row r="20" spans="4:12" s="35" customFormat="1">
      <c r="E20" s="49"/>
      <c r="F20" s="49"/>
    </row>
    <row r="21" spans="4:12" s="35" customFormat="1">
      <c r="E21" s="49"/>
    </row>
    <row r="22" spans="4:12" s="35" customFormat="1">
      <c r="E22" s="194"/>
      <c r="F22" s="49"/>
    </row>
    <row r="23" spans="4:12" s="35" customFormat="1"/>
    <row r="24" spans="4:12" s="35" customFormat="1" ht="12" customHeight="1"/>
    <row r="25" spans="4:12" s="35" customFormat="1"/>
    <row r="26" spans="4:12" s="35" customFormat="1"/>
    <row r="27" spans="4:12" s="35" customFormat="1"/>
    <row r="28" spans="4:12" s="35" customFormat="1"/>
    <row r="29" spans="4:12" s="35" customFormat="1"/>
    <row r="30" spans="4:12" s="35" customFormat="1"/>
    <row r="31" spans="4:12" s="35" customFormat="1"/>
    <row r="32" spans="4:12" s="35" customFormat="1"/>
    <row r="33" s="35" customFormat="1"/>
    <row r="34" s="35" customFormat="1"/>
    <row r="35" s="35" customFormat="1"/>
    <row r="36" s="35" customFormat="1"/>
    <row r="37" s="35" customFormat="1"/>
    <row r="38" s="35" customFormat="1"/>
    <row r="39" s="35" customFormat="1"/>
    <row r="40" s="35" customFormat="1"/>
    <row r="41" s="35" customFormat="1"/>
    <row r="42" s="35" customFormat="1"/>
    <row r="43" s="35" customFormat="1"/>
    <row r="44" s="35" customFormat="1"/>
    <row r="45" s="35" customFormat="1"/>
    <row r="46" s="35" customFormat="1"/>
    <row r="47" s="35" customFormat="1"/>
    <row r="48" s="35" customFormat="1"/>
    <row r="49" s="35" customFormat="1"/>
    <row r="50" s="35" customFormat="1"/>
    <row r="51" s="35" customFormat="1"/>
    <row r="52" s="35" customFormat="1"/>
    <row r="53" s="35" customFormat="1"/>
    <row r="54" s="35" customFormat="1"/>
    <row r="55" s="35" customFormat="1"/>
    <row r="56" s="35" customFormat="1"/>
    <row r="57" s="35" customFormat="1"/>
    <row r="58" s="35" customFormat="1"/>
    <row r="59" s="35" customFormat="1"/>
    <row r="60" s="35" customFormat="1"/>
    <row r="61" s="35" customFormat="1"/>
    <row r="62" s="35" customFormat="1"/>
    <row r="63" s="35" customFormat="1"/>
    <row r="64" s="35" customFormat="1"/>
    <row r="65" s="35" customFormat="1"/>
    <row r="66" s="35" customFormat="1"/>
    <row r="67" s="35" customFormat="1"/>
    <row r="68" s="35" customFormat="1"/>
    <row r="69" s="35" customFormat="1"/>
    <row r="70" s="35" customFormat="1"/>
    <row r="71" s="35" customFormat="1"/>
    <row r="72" s="35" customFormat="1"/>
    <row r="73" s="35" customFormat="1"/>
    <row r="74" s="35" customFormat="1"/>
    <row r="75" s="35" customFormat="1"/>
    <row r="76" s="35" customFormat="1"/>
    <row r="77" s="35" customFormat="1"/>
    <row r="78" s="35" customFormat="1"/>
    <row r="79" s="35" customFormat="1"/>
    <row r="80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  <row r="109" s="35" customFormat="1"/>
    <row r="110" s="35" customFormat="1"/>
    <row r="111" s="35" customFormat="1"/>
    <row r="112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  <row r="119" s="35" customFormat="1"/>
    <row r="120" s="35" customFormat="1"/>
    <row r="121" s="35" customFormat="1"/>
  </sheetData>
  <mergeCells count="21">
    <mergeCell ref="D18:G18"/>
    <mergeCell ref="D17:H17"/>
    <mergeCell ref="G5:H5"/>
    <mergeCell ref="I5:I6"/>
    <mergeCell ref="A16:C16"/>
    <mergeCell ref="A15:C15"/>
    <mergeCell ref="A14:C14"/>
    <mergeCell ref="A10:C10"/>
    <mergeCell ref="K1:L1"/>
    <mergeCell ref="A3:L3"/>
    <mergeCell ref="A11:C11"/>
    <mergeCell ref="A12:C12"/>
    <mergeCell ref="A13:C13"/>
    <mergeCell ref="J5:K5"/>
    <mergeCell ref="L5:L6"/>
    <mergeCell ref="A7:C7"/>
    <mergeCell ref="A9:C9"/>
    <mergeCell ref="A8:C8"/>
    <mergeCell ref="A5:C6"/>
    <mergeCell ref="D5:E5"/>
    <mergeCell ref="F5:F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1"/>
  <sheetViews>
    <sheetView topLeftCell="A4" workbookViewId="0">
      <selection activeCell="H1" sqref="H1"/>
    </sheetView>
  </sheetViews>
  <sheetFormatPr defaultColWidth="17.7109375" defaultRowHeight="12.75"/>
  <cols>
    <col min="1" max="2" width="9.140625" style="33" customWidth="1"/>
    <col min="3" max="3" width="17.7109375" style="33" customWidth="1"/>
    <col min="4" max="6" width="15.7109375" style="33" customWidth="1"/>
    <col min="7" max="7" width="20.28515625" style="35" customWidth="1"/>
    <col min="8" max="8" width="21.28515625" style="35" customWidth="1"/>
    <col min="9" max="9" width="29.85546875" style="35" customWidth="1"/>
    <col min="10" max="46" width="9.140625" style="35" customWidth="1"/>
    <col min="47" max="239" width="9.140625" style="33" customWidth="1"/>
    <col min="240" max="240" width="3.42578125" style="33" customWidth="1"/>
    <col min="241" max="242" width="9.140625" style="33" customWidth="1"/>
    <col min="243" max="16384" width="17.7109375" style="33"/>
  </cols>
  <sheetData>
    <row r="1" spans="1:46" ht="15">
      <c r="H1" s="36" t="s">
        <v>48</v>
      </c>
    </row>
    <row r="3" spans="1:46" ht="42.75" customHeight="1">
      <c r="A3" s="429" t="s">
        <v>70</v>
      </c>
      <c r="B3" s="429"/>
      <c r="C3" s="429"/>
      <c r="D3" s="429"/>
      <c r="E3" s="429"/>
      <c r="F3" s="429"/>
      <c r="G3" s="430"/>
      <c r="H3" s="430"/>
    </row>
    <row r="4" spans="1:46" ht="35.25" customHeight="1" thickBot="1">
      <c r="A4" s="38"/>
      <c r="B4" s="38"/>
      <c r="C4" s="38"/>
      <c r="H4" s="39" t="s">
        <v>2</v>
      </c>
    </row>
    <row r="5" spans="1:46" s="34" customFormat="1" ht="20.25" customHeight="1">
      <c r="A5" s="425" t="s">
        <v>41</v>
      </c>
      <c r="B5" s="426"/>
      <c r="C5" s="426"/>
      <c r="D5" s="421" t="s">
        <v>40</v>
      </c>
      <c r="E5" s="421"/>
      <c r="F5" s="421" t="s">
        <v>39</v>
      </c>
      <c r="G5" s="453" t="s">
        <v>42</v>
      </c>
      <c r="H5" s="455" t="s">
        <v>40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34" customFormat="1" ht="34.5" customHeight="1">
      <c r="A6" s="447"/>
      <c r="B6" s="448"/>
      <c r="C6" s="448"/>
      <c r="D6" s="50" t="s">
        <v>38</v>
      </c>
      <c r="E6" s="50" t="s">
        <v>37</v>
      </c>
      <c r="F6" s="428"/>
      <c r="G6" s="454"/>
      <c r="H6" s="45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s="44" customFormat="1" ht="15.95" customHeight="1">
      <c r="A7" s="423">
        <v>1</v>
      </c>
      <c r="B7" s="424"/>
      <c r="C7" s="424"/>
      <c r="D7" s="266">
        <v>2</v>
      </c>
      <c r="E7" s="266">
        <v>3</v>
      </c>
      <c r="F7" s="266" t="s">
        <v>47</v>
      </c>
      <c r="G7" s="41">
        <v>5</v>
      </c>
      <c r="H7" s="42" t="s">
        <v>49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s="44" customFormat="1" ht="25.5" customHeight="1">
      <c r="A8" s="457" t="s">
        <v>245</v>
      </c>
      <c r="B8" s="458"/>
      <c r="C8" s="458"/>
      <c r="D8" s="54">
        <v>2200</v>
      </c>
      <c r="E8" s="54">
        <v>199279.79</v>
      </c>
      <c r="F8" s="54">
        <f>D8+E8</f>
        <v>201479.79</v>
      </c>
      <c r="G8" s="52">
        <v>100146.62485928163</v>
      </c>
      <c r="H8" s="53">
        <f>F8-G8</f>
        <v>101333.16514071838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s="45" customFormat="1" ht="25.5" customHeight="1">
      <c r="A9" s="410" t="s">
        <v>36</v>
      </c>
      <c r="B9" s="411"/>
      <c r="C9" s="411"/>
      <c r="D9" s="54">
        <v>2134.86</v>
      </c>
      <c r="E9" s="54">
        <v>608281.32999999996</v>
      </c>
      <c r="F9" s="54">
        <f t="shared" ref="F9:F15" si="0">D9+E9</f>
        <v>610416.18999999994</v>
      </c>
      <c r="G9" s="52">
        <v>142018.44917324444</v>
      </c>
      <c r="H9" s="53">
        <f t="shared" ref="H9:H15" si="1">F9-G9</f>
        <v>468397.74082675553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s="45" customFormat="1" ht="24.95" customHeight="1">
      <c r="A10" s="410" t="s">
        <v>43</v>
      </c>
      <c r="B10" s="412"/>
      <c r="C10" s="412"/>
      <c r="D10" s="51">
        <v>2826.59</v>
      </c>
      <c r="E10" s="51">
        <v>630429</v>
      </c>
      <c r="F10" s="54">
        <f t="shared" si="0"/>
        <v>633255.59</v>
      </c>
      <c r="G10" s="52">
        <v>258861.76325245129</v>
      </c>
      <c r="H10" s="53">
        <f t="shared" si="1"/>
        <v>374393.82674754865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45" customFormat="1" ht="24.95" customHeight="1">
      <c r="A11" s="410" t="s">
        <v>44</v>
      </c>
      <c r="B11" s="412"/>
      <c r="C11" s="412"/>
      <c r="D11" s="51">
        <v>1219.92</v>
      </c>
      <c r="E11" s="51">
        <v>356030</v>
      </c>
      <c r="F11" s="54">
        <f t="shared" si="0"/>
        <v>357249.92</v>
      </c>
      <c r="G11" s="52">
        <v>129322.84601866406</v>
      </c>
      <c r="H11" s="53">
        <f t="shared" si="1"/>
        <v>227927.07398133591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s="45" customFormat="1" ht="24.95" customHeight="1">
      <c r="A12" s="410" t="s">
        <v>35</v>
      </c>
      <c r="B12" s="411"/>
      <c r="C12" s="411"/>
      <c r="D12" s="51">
        <v>2134.9</v>
      </c>
      <c r="E12" s="51">
        <v>517750.28</v>
      </c>
      <c r="F12" s="54">
        <f t="shared" si="0"/>
        <v>519885.18000000005</v>
      </c>
      <c r="G12" s="52">
        <v>152497.77228100324</v>
      </c>
      <c r="H12" s="53">
        <f t="shared" si="1"/>
        <v>367387.40771899681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46" customFormat="1" ht="24.95" customHeight="1">
      <c r="A13" s="410" t="s">
        <v>45</v>
      </c>
      <c r="B13" s="412"/>
      <c r="C13" s="412"/>
      <c r="D13" s="51">
        <v>1906.12</v>
      </c>
      <c r="E13" s="51">
        <v>721740</v>
      </c>
      <c r="F13" s="54">
        <f t="shared" si="0"/>
        <v>723646.12</v>
      </c>
      <c r="G13" s="52">
        <v>406863.33098168467</v>
      </c>
      <c r="H13" s="53">
        <f t="shared" si="1"/>
        <v>316782.78901831532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46" customFormat="1" ht="24.95" customHeight="1">
      <c r="A14" s="410" t="s">
        <v>34</v>
      </c>
      <c r="B14" s="411"/>
      <c r="C14" s="411"/>
      <c r="D14" s="51">
        <v>304.98</v>
      </c>
      <c r="E14" s="51">
        <v>248953.42</v>
      </c>
      <c r="F14" s="54">
        <f t="shared" si="0"/>
        <v>249258.40000000002</v>
      </c>
      <c r="G14" s="227">
        <v>74758.534190691207</v>
      </c>
      <c r="H14" s="53">
        <f t="shared" si="1"/>
        <v>174499.86580930883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45" customFormat="1" ht="24.95" customHeight="1">
      <c r="A15" s="410" t="s">
        <v>46</v>
      </c>
      <c r="B15" s="412"/>
      <c r="C15" s="412"/>
      <c r="D15" s="51">
        <v>7624.5</v>
      </c>
      <c r="E15" s="51">
        <v>307573</v>
      </c>
      <c r="F15" s="54">
        <f t="shared" si="0"/>
        <v>315197.5</v>
      </c>
      <c r="G15" s="52">
        <v>137908.6792429795</v>
      </c>
      <c r="H15" s="53">
        <f t="shared" si="1"/>
        <v>177288.8207570205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47" customFormat="1" ht="27.75" customHeight="1" thickBot="1">
      <c r="A16" s="413" t="s">
        <v>1</v>
      </c>
      <c r="B16" s="414"/>
      <c r="C16" s="414"/>
      <c r="D16" s="84">
        <f t="shared" ref="D16:H16" si="2">SUM(D9:D15)</f>
        <v>18151.87</v>
      </c>
      <c r="E16" s="84">
        <f t="shared" si="2"/>
        <v>3390757.0300000003</v>
      </c>
      <c r="F16" s="67">
        <f>SUM(F8:F15)</f>
        <v>3610388.69</v>
      </c>
      <c r="G16" s="85">
        <f>SUM(G8:G15)</f>
        <v>1402378</v>
      </c>
      <c r="H16" s="86">
        <f t="shared" si="2"/>
        <v>2106677.5248592813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</row>
    <row r="17" spans="4:8" s="35" customFormat="1">
      <c r="D17" s="48"/>
      <c r="E17" s="48"/>
      <c r="F17" s="48"/>
      <c r="H17" s="48"/>
    </row>
    <row r="18" spans="4:8" s="35" customFormat="1">
      <c r="D18" s="49"/>
      <c r="E18" s="49"/>
      <c r="F18" s="49"/>
    </row>
    <row r="19" spans="4:8" s="35" customFormat="1"/>
    <row r="20" spans="4:8" s="35" customFormat="1">
      <c r="E20" s="49"/>
      <c r="F20" s="49"/>
    </row>
    <row r="21" spans="4:8" s="35" customFormat="1">
      <c r="E21" s="49"/>
    </row>
    <row r="22" spans="4:8" s="35" customFormat="1">
      <c r="E22" s="49"/>
      <c r="F22" s="49"/>
    </row>
    <row r="23" spans="4:8" s="35" customFormat="1"/>
    <row r="24" spans="4:8" s="35" customFormat="1" ht="12" customHeight="1"/>
    <row r="25" spans="4:8" s="35" customFormat="1"/>
    <row r="26" spans="4:8" s="35" customFormat="1"/>
    <row r="27" spans="4:8" s="35" customFormat="1"/>
    <row r="28" spans="4:8" s="35" customFormat="1"/>
    <row r="29" spans="4:8" s="35" customFormat="1"/>
    <row r="30" spans="4:8" s="35" customFormat="1"/>
    <row r="31" spans="4:8" s="35" customFormat="1"/>
    <row r="32" spans="4:8" s="35" customFormat="1"/>
    <row r="33" s="35" customFormat="1"/>
    <row r="34" s="35" customFormat="1"/>
    <row r="35" s="35" customFormat="1"/>
    <row r="36" s="35" customFormat="1"/>
    <row r="37" s="35" customFormat="1"/>
    <row r="38" s="35" customFormat="1"/>
    <row r="39" s="35" customFormat="1"/>
    <row r="40" s="35" customFormat="1"/>
    <row r="41" s="35" customFormat="1"/>
    <row r="42" s="35" customFormat="1"/>
    <row r="43" s="35" customFormat="1"/>
    <row r="44" s="35" customFormat="1"/>
    <row r="45" s="35" customFormat="1"/>
    <row r="46" s="35" customFormat="1"/>
    <row r="47" s="35" customFormat="1"/>
    <row r="48" s="35" customFormat="1"/>
    <row r="49" s="35" customFormat="1"/>
    <row r="50" s="35" customFormat="1"/>
    <row r="51" s="35" customFormat="1"/>
    <row r="52" s="35" customFormat="1"/>
    <row r="53" s="35" customFormat="1"/>
    <row r="54" s="35" customFormat="1"/>
    <row r="55" s="35" customFormat="1"/>
    <row r="56" s="35" customFormat="1"/>
    <row r="57" s="35" customFormat="1"/>
    <row r="58" s="35" customFormat="1"/>
    <row r="59" s="35" customFormat="1"/>
    <row r="60" s="35" customFormat="1"/>
    <row r="61" s="35" customFormat="1"/>
    <row r="62" s="35" customFormat="1"/>
    <row r="63" s="35" customFormat="1"/>
    <row r="64" s="35" customFormat="1"/>
    <row r="65" s="35" customFormat="1"/>
    <row r="66" s="35" customFormat="1"/>
    <row r="67" s="35" customFormat="1"/>
    <row r="68" s="35" customFormat="1"/>
    <row r="69" s="35" customFormat="1"/>
    <row r="70" s="35" customFormat="1"/>
    <row r="71" s="35" customFormat="1"/>
    <row r="72" s="35" customFormat="1"/>
    <row r="73" s="35" customFormat="1"/>
    <row r="74" s="35" customFormat="1"/>
    <row r="75" s="35" customFormat="1"/>
    <row r="76" s="35" customFormat="1"/>
    <row r="77" s="35" customFormat="1"/>
    <row r="78" s="35" customFormat="1"/>
    <row r="79" s="35" customFormat="1"/>
    <row r="80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  <row r="109" s="35" customFormat="1"/>
    <row r="110" s="35" customFormat="1"/>
    <row r="111" s="35" customFormat="1"/>
    <row r="112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  <row r="119" s="35" customFormat="1"/>
    <row r="120" s="35" customFormat="1"/>
    <row r="121" s="35" customFormat="1"/>
  </sheetData>
  <mergeCells count="16">
    <mergeCell ref="A16:C16"/>
    <mergeCell ref="A7:C7"/>
    <mergeCell ref="A9:C9"/>
    <mergeCell ref="A10:C10"/>
    <mergeCell ref="A11:C11"/>
    <mergeCell ref="A12:C12"/>
    <mergeCell ref="A13:C13"/>
    <mergeCell ref="A14:C14"/>
    <mergeCell ref="A15:C15"/>
    <mergeCell ref="A8:C8"/>
    <mergeCell ref="A3:H3"/>
    <mergeCell ref="A5:C6"/>
    <mergeCell ref="D5:E5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view="pageBreakPreview" zoomScale="60" zoomScaleNormal="100" workbookViewId="0">
      <selection activeCell="I80" sqref="I80"/>
    </sheetView>
  </sheetViews>
  <sheetFormatPr defaultRowHeight="15"/>
  <cols>
    <col min="1" max="1" width="30.7109375" customWidth="1"/>
    <col min="2" max="12" width="13.28515625" customWidth="1"/>
    <col min="13" max="13" width="13" customWidth="1"/>
    <col min="14" max="14" width="15.140625" customWidth="1"/>
  </cols>
  <sheetData>
    <row r="1" spans="1:12" ht="15.75">
      <c r="A1" s="463" t="s">
        <v>67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2" ht="14.25" customHeight="1" thickBot="1">
      <c r="A2" s="2"/>
      <c r="B2" s="2"/>
      <c r="C2" s="3"/>
      <c r="D2" s="3"/>
      <c r="E2" s="4"/>
      <c r="F2" s="4"/>
      <c r="G2" s="4"/>
      <c r="H2" s="4"/>
      <c r="I2" s="4"/>
      <c r="J2" s="4"/>
      <c r="K2" s="3"/>
      <c r="L2" s="5" t="s">
        <v>2</v>
      </c>
    </row>
    <row r="3" spans="1:12" ht="15" customHeight="1">
      <c r="A3" s="464" t="s">
        <v>5</v>
      </c>
      <c r="B3" s="466" t="s">
        <v>280</v>
      </c>
      <c r="C3" s="466" t="s">
        <v>33</v>
      </c>
      <c r="D3" s="466" t="s">
        <v>6</v>
      </c>
      <c r="E3" s="466" t="s">
        <v>278</v>
      </c>
      <c r="F3" s="466" t="s">
        <v>279</v>
      </c>
      <c r="G3" s="466" t="s">
        <v>7</v>
      </c>
      <c r="H3" s="468" t="s">
        <v>281</v>
      </c>
      <c r="I3" s="459" t="s">
        <v>46</v>
      </c>
      <c r="J3" s="459" t="s">
        <v>50</v>
      </c>
      <c r="K3" s="400" t="s">
        <v>8</v>
      </c>
      <c r="L3" s="461" t="s">
        <v>0</v>
      </c>
    </row>
    <row r="4" spans="1:12" ht="50.25" customHeight="1">
      <c r="A4" s="465"/>
      <c r="B4" s="467"/>
      <c r="C4" s="467"/>
      <c r="D4" s="467"/>
      <c r="E4" s="467"/>
      <c r="F4" s="467"/>
      <c r="G4" s="467"/>
      <c r="H4" s="469"/>
      <c r="I4" s="470"/>
      <c r="J4" s="460"/>
      <c r="K4" s="401"/>
      <c r="L4" s="462"/>
    </row>
    <row r="5" spans="1:12" hidden="1">
      <c r="A5" s="6" t="s">
        <v>9</v>
      </c>
      <c r="B5" s="7"/>
      <c r="C5" s="8"/>
      <c r="D5" s="8"/>
      <c r="E5" s="8"/>
      <c r="F5" s="8"/>
      <c r="G5" s="8"/>
      <c r="H5" s="8"/>
      <c r="I5" s="7"/>
      <c r="J5" s="7"/>
      <c r="K5" s="9"/>
      <c r="L5" s="319"/>
    </row>
    <row r="6" spans="1:12" hidden="1">
      <c r="A6" s="6" t="s">
        <v>10</v>
      </c>
      <c r="B6" s="7"/>
      <c r="C6" s="8"/>
      <c r="D6" s="8"/>
      <c r="E6" s="8"/>
      <c r="F6" s="8"/>
      <c r="G6" s="8"/>
      <c r="H6" s="8"/>
      <c r="I6" s="7"/>
      <c r="J6" s="7"/>
      <c r="K6" s="9"/>
      <c r="L6" s="319"/>
    </row>
    <row r="7" spans="1:12" hidden="1">
      <c r="A7" s="6" t="s">
        <v>11</v>
      </c>
      <c r="B7" s="7"/>
      <c r="C7" s="7"/>
      <c r="D7" s="7"/>
      <c r="E7" s="7"/>
      <c r="F7" s="7"/>
      <c r="G7" s="7"/>
      <c r="H7" s="7"/>
      <c r="I7" s="7"/>
      <c r="J7" s="7"/>
      <c r="K7" s="9"/>
      <c r="L7" s="233"/>
    </row>
    <row r="8" spans="1:12" hidden="1">
      <c r="A8" s="6" t="s">
        <v>12</v>
      </c>
      <c r="B8" s="7"/>
      <c r="C8" s="7"/>
      <c r="D8" s="7"/>
      <c r="E8" s="7"/>
      <c r="F8" s="7"/>
      <c r="G8" s="7"/>
      <c r="H8" s="7"/>
      <c r="I8" s="7"/>
      <c r="J8" s="7"/>
      <c r="K8" s="9"/>
      <c r="L8" s="233"/>
    </row>
    <row r="9" spans="1:12" hidden="1">
      <c r="A9" s="6" t="s">
        <v>13</v>
      </c>
      <c r="B9" s="7"/>
      <c r="C9" s="7"/>
      <c r="D9" s="7"/>
      <c r="E9" s="7"/>
      <c r="F9" s="7"/>
      <c r="G9" s="7"/>
      <c r="H9" s="7"/>
      <c r="I9" s="7"/>
      <c r="J9" s="7"/>
      <c r="K9" s="9"/>
      <c r="L9" s="233"/>
    </row>
    <row r="10" spans="1:12" hidden="1">
      <c r="A10" s="6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233"/>
    </row>
    <row r="11" spans="1:12" hidden="1">
      <c r="A11" s="6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9"/>
      <c r="L11" s="233"/>
    </row>
    <row r="12" spans="1:12" hidden="1">
      <c r="A12" s="6" t="s">
        <v>16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233"/>
    </row>
    <row r="13" spans="1:12" hidden="1">
      <c r="A13" s="10" t="s">
        <v>17</v>
      </c>
      <c r="B13" s="11">
        <f>SUM(B5:B12)</f>
        <v>0</v>
      </c>
      <c r="C13" s="11">
        <f>SUM(C5:C12)</f>
        <v>0</v>
      </c>
      <c r="D13" s="11">
        <f t="shared" ref="D13:L13" si="0">SUM(D5:D12)</f>
        <v>0</v>
      </c>
      <c r="E13" s="11">
        <f t="shared" si="0"/>
        <v>0</v>
      </c>
      <c r="F13" s="11">
        <f>SUM(F5:F12)</f>
        <v>0</v>
      </c>
      <c r="G13" s="11">
        <f t="shared" si="0"/>
        <v>0</v>
      </c>
      <c r="H13" s="11">
        <f>SUM(H5:H12)</f>
        <v>0</v>
      </c>
      <c r="I13" s="11">
        <f>SUM(I5:I12)</f>
        <v>0</v>
      </c>
      <c r="J13" s="11">
        <f>SUM(J5:J12)</f>
        <v>0</v>
      </c>
      <c r="K13" s="232">
        <f>SUM(K5:K12)</f>
        <v>0</v>
      </c>
      <c r="L13" s="89">
        <f t="shared" si="0"/>
        <v>0</v>
      </c>
    </row>
    <row r="14" spans="1:12" hidden="1">
      <c r="A14" s="12"/>
      <c r="B14" s="7"/>
      <c r="C14" s="13"/>
      <c r="D14" s="7"/>
      <c r="E14" s="7"/>
      <c r="F14" s="7"/>
      <c r="G14" s="7"/>
      <c r="H14" s="7"/>
      <c r="I14" s="7"/>
      <c r="J14" s="7"/>
      <c r="K14" s="13"/>
      <c r="L14" s="320"/>
    </row>
    <row r="15" spans="1:12" hidden="1">
      <c r="A15" s="6"/>
      <c r="B15" s="7"/>
      <c r="C15" s="9"/>
      <c r="D15" s="8"/>
      <c r="E15" s="8"/>
      <c r="F15" s="8"/>
      <c r="G15" s="8"/>
      <c r="H15" s="8"/>
      <c r="I15" s="7"/>
      <c r="J15" s="7"/>
      <c r="K15" s="9"/>
      <c r="L15" s="233"/>
    </row>
    <row r="16" spans="1:12" hidden="1">
      <c r="A16" s="14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5"/>
      <c r="L16" s="89"/>
    </row>
    <row r="17" spans="1:13" hidden="1">
      <c r="A17" s="6"/>
      <c r="B17" s="7"/>
      <c r="C17" s="9"/>
      <c r="D17" s="8"/>
      <c r="E17" s="8"/>
      <c r="F17" s="8"/>
      <c r="G17" s="8"/>
      <c r="H17" s="8"/>
      <c r="I17" s="7"/>
      <c r="J17" s="7"/>
      <c r="K17" s="9"/>
      <c r="L17" s="233"/>
    </row>
    <row r="18" spans="1:13" hidden="1">
      <c r="A18" s="14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89"/>
    </row>
    <row r="19" spans="1:13" hidden="1">
      <c r="A19" s="6"/>
      <c r="B19" s="7"/>
      <c r="C19" s="9"/>
      <c r="D19" s="7"/>
      <c r="E19" s="7"/>
      <c r="F19" s="7"/>
      <c r="G19" s="7"/>
      <c r="H19" s="7"/>
      <c r="I19" s="7"/>
      <c r="J19" s="7"/>
      <c r="K19" s="9"/>
      <c r="L19" s="233"/>
    </row>
    <row r="20" spans="1:13" hidden="1">
      <c r="A20" s="28" t="s">
        <v>64</v>
      </c>
      <c r="B20" s="11"/>
      <c r="C20" s="15"/>
      <c r="D20" s="11"/>
      <c r="E20" s="11"/>
      <c r="F20" s="11"/>
      <c r="G20" s="11"/>
      <c r="H20" s="11"/>
      <c r="I20" s="11"/>
      <c r="J20" s="11"/>
      <c r="K20" s="15"/>
      <c r="L20" s="89"/>
    </row>
    <row r="21" spans="1:13" hidden="1">
      <c r="A21" s="28"/>
      <c r="B21" s="11"/>
      <c r="C21" s="15"/>
      <c r="D21" s="11"/>
      <c r="E21" s="11"/>
      <c r="F21" s="11"/>
      <c r="G21" s="11"/>
      <c r="H21" s="11"/>
      <c r="I21" s="11"/>
      <c r="J21" s="11"/>
      <c r="K21" s="15"/>
      <c r="L21" s="89"/>
    </row>
    <row r="22" spans="1:13" hidden="1">
      <c r="A22" s="28" t="s">
        <v>65</v>
      </c>
      <c r="B22" s="11"/>
      <c r="C22" s="15"/>
      <c r="D22" s="11"/>
      <c r="E22" s="11"/>
      <c r="F22" s="11"/>
      <c r="G22" s="11"/>
      <c r="H22" s="11"/>
      <c r="I22" s="11"/>
      <c r="J22" s="11"/>
      <c r="K22" s="15"/>
      <c r="L22" s="89"/>
    </row>
    <row r="23" spans="1:13" hidden="1">
      <c r="A23" s="14"/>
      <c r="B23" s="11"/>
      <c r="C23" s="15"/>
      <c r="D23" s="11"/>
      <c r="E23" s="11"/>
      <c r="F23" s="11"/>
      <c r="G23" s="11"/>
      <c r="H23" s="11"/>
      <c r="I23" s="11"/>
      <c r="J23" s="11"/>
      <c r="K23" s="15"/>
      <c r="L23" s="89"/>
    </row>
    <row r="24" spans="1:13" ht="27" hidden="1">
      <c r="A24" s="27" t="s">
        <v>68</v>
      </c>
      <c r="B24" s="11"/>
      <c r="C24" s="15"/>
      <c r="D24" s="16"/>
      <c r="E24" s="16"/>
      <c r="F24" s="16"/>
      <c r="G24" s="16"/>
      <c r="H24" s="16"/>
      <c r="I24" s="11"/>
      <c r="J24" s="11"/>
      <c r="K24" s="232"/>
      <c r="L24" s="89"/>
    </row>
    <row r="25" spans="1:13" hidden="1">
      <c r="A25" s="27"/>
      <c r="B25" s="11"/>
      <c r="C25" s="15"/>
      <c r="D25" s="16"/>
      <c r="E25" s="16"/>
      <c r="F25" s="16"/>
      <c r="G25" s="16"/>
      <c r="H25" s="16"/>
      <c r="I25" s="11"/>
      <c r="J25" s="11"/>
      <c r="K25" s="232"/>
      <c r="L25" s="89"/>
    </row>
    <row r="26" spans="1:13" hidden="1">
      <c r="A26" s="27" t="s">
        <v>52</v>
      </c>
      <c r="B26" s="11"/>
      <c r="C26" s="11"/>
      <c r="D26" s="16"/>
      <c r="E26" s="16"/>
      <c r="F26" s="16"/>
      <c r="G26" s="16"/>
      <c r="H26" s="16"/>
      <c r="I26" s="11"/>
      <c r="J26" s="11"/>
      <c r="K26" s="232"/>
      <c r="L26" s="89"/>
    </row>
    <row r="27" spans="1:13" hidden="1">
      <c r="A27" s="27"/>
      <c r="B27" s="11"/>
      <c r="C27" s="15"/>
      <c r="D27" s="16"/>
      <c r="E27" s="16"/>
      <c r="F27" s="16"/>
      <c r="G27" s="16"/>
      <c r="H27" s="16"/>
      <c r="I27" s="11"/>
      <c r="J27" s="11"/>
      <c r="K27" s="232"/>
      <c r="L27" s="89"/>
    </row>
    <row r="28" spans="1:13" hidden="1">
      <c r="A28" s="28" t="s">
        <v>23</v>
      </c>
      <c r="B28" s="7"/>
      <c r="C28" s="9"/>
      <c r="D28" s="8"/>
      <c r="E28" s="8"/>
      <c r="F28" s="8"/>
      <c r="G28" s="8"/>
      <c r="H28" s="8"/>
      <c r="I28" s="7"/>
      <c r="J28" s="7"/>
      <c r="K28" s="13"/>
      <c r="L28" s="321"/>
    </row>
    <row r="29" spans="1:13">
      <c r="A29" s="215" t="s">
        <v>180</v>
      </c>
      <c r="B29" s="202">
        <v>26212.724999999999</v>
      </c>
      <c r="C29" s="202">
        <v>111742.785</v>
      </c>
      <c r="D29" s="202">
        <v>57550</v>
      </c>
      <c r="E29" s="202">
        <v>67505</v>
      </c>
      <c r="F29" s="202">
        <v>103260.465</v>
      </c>
      <c r="G29" s="202">
        <v>166995.67499999999</v>
      </c>
      <c r="H29" s="202">
        <v>56489.894999999997</v>
      </c>
      <c r="I29" s="202">
        <v>72806.58</v>
      </c>
      <c r="J29" s="202"/>
      <c r="K29" s="322">
        <v>0</v>
      </c>
      <c r="L29" s="321">
        <v>6693</v>
      </c>
      <c r="M29" s="351"/>
    </row>
    <row r="30" spans="1:13">
      <c r="A30" s="215" t="s">
        <v>241</v>
      </c>
      <c r="B30" s="202">
        <v>461</v>
      </c>
      <c r="C30" s="202">
        <v>2617</v>
      </c>
      <c r="D30" s="202">
        <f>1630.5+707.5</f>
        <v>2338</v>
      </c>
      <c r="E30" s="202">
        <v>1956</v>
      </c>
      <c r="F30" s="202">
        <v>2417</v>
      </c>
      <c r="G30" s="202">
        <v>4188</v>
      </c>
      <c r="H30" s="202">
        <v>1278</v>
      </c>
      <c r="I30" s="202">
        <v>1896</v>
      </c>
      <c r="J30" s="202"/>
      <c r="K30" s="322"/>
      <c r="L30" s="321">
        <v>0</v>
      </c>
      <c r="M30" s="351"/>
    </row>
    <row r="31" spans="1:13">
      <c r="A31" s="215" t="s">
        <v>186</v>
      </c>
      <c r="B31" s="202">
        <v>0</v>
      </c>
      <c r="C31" s="202">
        <v>22200</v>
      </c>
      <c r="D31" s="202">
        <v>0</v>
      </c>
      <c r="E31" s="202">
        <v>0</v>
      </c>
      <c r="F31" s="202">
        <v>39600</v>
      </c>
      <c r="G31" s="202">
        <v>0</v>
      </c>
      <c r="H31" s="202">
        <v>13200</v>
      </c>
      <c r="I31" s="202">
        <v>0</v>
      </c>
      <c r="J31" s="202"/>
      <c r="K31" s="322"/>
      <c r="L31" s="321">
        <v>172800</v>
      </c>
      <c r="M31" s="351"/>
    </row>
    <row r="32" spans="1:13" s="205" customFormat="1">
      <c r="A32" s="216" t="s">
        <v>189</v>
      </c>
      <c r="B32" s="204">
        <v>714</v>
      </c>
      <c r="C32" s="204">
        <v>1972</v>
      </c>
      <c r="D32" s="204">
        <v>2244</v>
      </c>
      <c r="E32" s="204">
        <v>2244</v>
      </c>
      <c r="F32" s="204">
        <v>2040</v>
      </c>
      <c r="G32" s="204">
        <v>4318</v>
      </c>
      <c r="H32" s="204">
        <v>1530</v>
      </c>
      <c r="I32" s="204">
        <v>2380</v>
      </c>
      <c r="J32" s="204"/>
      <c r="K32" s="323">
        <v>0</v>
      </c>
      <c r="L32" s="324">
        <v>0</v>
      </c>
      <c r="M32" s="351"/>
    </row>
    <row r="33" spans="1:13" s="205" customFormat="1">
      <c r="A33" s="215" t="s">
        <v>191</v>
      </c>
      <c r="B33" s="206">
        <v>8430</v>
      </c>
      <c r="C33" s="202">
        <v>38700</v>
      </c>
      <c r="D33" s="202">
        <v>16230</v>
      </c>
      <c r="E33" s="206">
        <v>16230</v>
      </c>
      <c r="F33" s="202">
        <v>35040</v>
      </c>
      <c r="G33" s="206">
        <v>40230</v>
      </c>
      <c r="H33" s="202">
        <v>16080</v>
      </c>
      <c r="I33" s="202">
        <v>26130</v>
      </c>
      <c r="J33" s="202"/>
      <c r="K33" s="206"/>
      <c r="L33" s="207">
        <v>5220</v>
      </c>
      <c r="M33" s="351"/>
    </row>
    <row r="34" spans="1:13" s="205" customFormat="1" ht="26.25">
      <c r="A34" s="213" t="s">
        <v>193</v>
      </c>
      <c r="B34" s="202">
        <v>2647.75</v>
      </c>
      <c r="C34" s="202">
        <v>11507.300000000001</v>
      </c>
      <c r="D34" s="203">
        <v>6818.7</v>
      </c>
      <c r="E34" s="203">
        <v>5813.1500000000005</v>
      </c>
      <c r="F34" s="203">
        <v>10823.050000000001</v>
      </c>
      <c r="G34" s="203">
        <v>16868.25</v>
      </c>
      <c r="H34" s="203">
        <v>5836.95</v>
      </c>
      <c r="I34" s="202">
        <v>7354.2</v>
      </c>
      <c r="J34" s="202"/>
      <c r="K34" s="322"/>
      <c r="L34" s="321">
        <v>1499.4</v>
      </c>
      <c r="M34" s="351"/>
    </row>
    <row r="35" spans="1:13" s="205" customFormat="1">
      <c r="A35" s="215" t="s">
        <v>195</v>
      </c>
      <c r="B35" s="202">
        <v>5417.25</v>
      </c>
      <c r="C35" s="202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2">
        <v>13688.75</v>
      </c>
      <c r="J35" s="202">
        <v>39435.25</v>
      </c>
      <c r="K35" s="322">
        <v>140615.5</v>
      </c>
      <c r="L35" s="321">
        <v>0</v>
      </c>
      <c r="M35" s="351"/>
    </row>
    <row r="36" spans="1:13" s="208" customFormat="1">
      <c r="A36" s="217" t="s">
        <v>198</v>
      </c>
      <c r="B36" s="15">
        <f>SUM(B29:B35)</f>
        <v>43882.724999999999</v>
      </c>
      <c r="C36" s="11">
        <f t="shared" ref="C36:L36" si="1">SUM(C29:C35)</f>
        <v>188739.08499999999</v>
      </c>
      <c r="D36" s="11">
        <f t="shared" si="1"/>
        <v>85180.7</v>
      </c>
      <c r="E36" s="15">
        <f t="shared" si="1"/>
        <v>93748.15</v>
      </c>
      <c r="F36" s="11">
        <f t="shared" si="1"/>
        <v>193180.51499999998</v>
      </c>
      <c r="G36" s="15">
        <f t="shared" si="1"/>
        <v>232599.92499999999</v>
      </c>
      <c r="H36" s="11">
        <f t="shared" si="1"/>
        <v>94414.844999999987</v>
      </c>
      <c r="I36" s="11">
        <f t="shared" si="1"/>
        <v>124255.53</v>
      </c>
      <c r="J36" s="11">
        <f t="shared" si="1"/>
        <v>39435.25</v>
      </c>
      <c r="K36" s="15">
        <f t="shared" si="1"/>
        <v>140615.5</v>
      </c>
      <c r="L36" s="209">
        <f t="shared" si="1"/>
        <v>186212.4</v>
      </c>
      <c r="M36" s="351"/>
    </row>
    <row r="37" spans="1:13" ht="9" customHeight="1">
      <c r="A37" s="224"/>
      <c r="B37" s="202"/>
      <c r="C37" s="202"/>
      <c r="D37" s="203"/>
      <c r="E37" s="203"/>
      <c r="F37" s="203"/>
      <c r="G37" s="203"/>
      <c r="H37" s="203"/>
      <c r="I37" s="202"/>
      <c r="J37" s="202"/>
      <c r="K37" s="322"/>
      <c r="L37" s="321"/>
      <c r="M37" s="351"/>
    </row>
    <row r="38" spans="1:13">
      <c r="A38" s="212" t="s">
        <v>237</v>
      </c>
      <c r="B38" s="202">
        <v>201480</v>
      </c>
      <c r="C38" s="202">
        <v>610416</v>
      </c>
      <c r="D38" s="203">
        <v>633256</v>
      </c>
      <c r="E38" s="203">
        <v>357250</v>
      </c>
      <c r="F38" s="203">
        <v>519885</v>
      </c>
      <c r="G38" s="203">
        <v>723646</v>
      </c>
      <c r="H38" s="203">
        <v>249258</v>
      </c>
      <c r="I38" s="202">
        <v>315198</v>
      </c>
      <c r="J38" s="202"/>
      <c r="K38" s="322"/>
      <c r="L38" s="321"/>
      <c r="M38" s="351"/>
    </row>
    <row r="39" spans="1:13">
      <c r="A39" s="212" t="s">
        <v>282</v>
      </c>
      <c r="B39" s="202"/>
      <c r="C39" s="202">
        <v>15978</v>
      </c>
      <c r="D39" s="203">
        <v>5072</v>
      </c>
      <c r="E39" s="203">
        <v>2717</v>
      </c>
      <c r="F39" s="203">
        <v>27517</v>
      </c>
      <c r="G39" s="203">
        <v>24456</v>
      </c>
      <c r="H39" s="203">
        <v>10652</v>
      </c>
      <c r="I39" s="202"/>
      <c r="J39" s="202"/>
      <c r="K39" s="322"/>
      <c r="L39" s="321">
        <f>1105+21497+8454+4529+40760+1</f>
        <v>76346</v>
      </c>
      <c r="M39" s="351"/>
    </row>
    <row r="40" spans="1:13" s="219" customFormat="1">
      <c r="A40" s="28" t="s">
        <v>238</v>
      </c>
      <c r="B40" s="15">
        <f>SUM(B38:B39)</f>
        <v>201480</v>
      </c>
      <c r="C40" s="11">
        <f t="shared" ref="C40:L40" si="2">SUM(C38:C39)</f>
        <v>626394</v>
      </c>
      <c r="D40" s="11">
        <f t="shared" si="2"/>
        <v>638328</v>
      </c>
      <c r="E40" s="15">
        <f t="shared" si="2"/>
        <v>359967</v>
      </c>
      <c r="F40" s="11">
        <f t="shared" si="2"/>
        <v>547402</v>
      </c>
      <c r="G40" s="15">
        <f t="shared" si="2"/>
        <v>748102</v>
      </c>
      <c r="H40" s="11">
        <f t="shared" si="2"/>
        <v>259910</v>
      </c>
      <c r="I40" s="11">
        <f t="shared" si="2"/>
        <v>315198</v>
      </c>
      <c r="J40" s="11">
        <f t="shared" si="2"/>
        <v>0</v>
      </c>
      <c r="K40" s="15">
        <f t="shared" si="2"/>
        <v>0</v>
      </c>
      <c r="L40" s="209">
        <f t="shared" si="2"/>
        <v>76346</v>
      </c>
      <c r="M40" s="351"/>
    </row>
    <row r="41" spans="1:13" ht="9" customHeight="1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325"/>
      <c r="L41" s="326"/>
      <c r="M41" s="351"/>
    </row>
    <row r="42" spans="1:13" s="222" customFormat="1" ht="27">
      <c r="A42" s="340" t="s">
        <v>283</v>
      </c>
      <c r="B42" s="220">
        <v>32615</v>
      </c>
      <c r="C42" s="259">
        <v>52796</v>
      </c>
      <c r="D42" s="259">
        <v>80039</v>
      </c>
      <c r="E42" s="220">
        <v>51427</v>
      </c>
      <c r="F42" s="259">
        <v>63833</v>
      </c>
      <c r="G42" s="220">
        <v>105681</v>
      </c>
      <c r="H42" s="259">
        <v>25452</v>
      </c>
      <c r="I42" s="259">
        <v>48617</v>
      </c>
      <c r="J42" s="259">
        <v>1704</v>
      </c>
      <c r="K42" s="220"/>
      <c r="L42" s="221"/>
      <c r="M42" s="351"/>
    </row>
    <row r="43" spans="1:13" s="222" customFormat="1" ht="9" customHeight="1">
      <c r="A43" s="223"/>
      <c r="B43" s="220"/>
      <c r="C43" s="259"/>
      <c r="D43" s="259"/>
      <c r="E43" s="220"/>
      <c r="F43" s="259"/>
      <c r="G43" s="220"/>
      <c r="H43" s="259"/>
      <c r="I43" s="259"/>
      <c r="J43" s="259"/>
      <c r="K43" s="220"/>
      <c r="L43" s="221"/>
      <c r="M43" s="351"/>
    </row>
    <row r="44" spans="1:13" s="222" customFormat="1">
      <c r="A44" s="28" t="s">
        <v>284</v>
      </c>
      <c r="B44" s="220">
        <f>5387+16528</f>
        <v>21915</v>
      </c>
      <c r="C44" s="259"/>
      <c r="D44" s="259"/>
      <c r="E44" s="220"/>
      <c r="F44" s="259"/>
      <c r="G44" s="220"/>
      <c r="H44" s="259"/>
      <c r="I44" s="259"/>
      <c r="J44" s="259">
        <v>16528</v>
      </c>
      <c r="K44" s="220">
        <f>16528+46400+10000</f>
        <v>72928</v>
      </c>
      <c r="L44" s="221"/>
      <c r="M44" s="351"/>
    </row>
    <row r="45" spans="1:13" s="222" customFormat="1" ht="9" customHeight="1">
      <c r="A45" s="28"/>
      <c r="B45" s="220"/>
      <c r="C45" s="259"/>
      <c r="D45" s="259"/>
      <c r="E45" s="220"/>
      <c r="F45" s="259"/>
      <c r="G45" s="220"/>
      <c r="H45" s="259"/>
      <c r="I45" s="259"/>
      <c r="J45" s="259"/>
      <c r="K45" s="220"/>
      <c r="L45" s="221"/>
      <c r="M45" s="351"/>
    </row>
    <row r="46" spans="1:13" s="222" customFormat="1">
      <c r="A46" s="27" t="s">
        <v>271</v>
      </c>
      <c r="B46" s="220"/>
      <c r="C46" s="259">
        <v>45000</v>
      </c>
      <c r="D46" s="259"/>
      <c r="E46" s="220"/>
      <c r="F46" s="259">
        <f>11000+62700</f>
        <v>73700</v>
      </c>
      <c r="G46" s="220"/>
      <c r="H46" s="259">
        <f>12000+40000</f>
        <v>52000</v>
      </c>
      <c r="I46" s="259"/>
      <c r="J46" s="259">
        <v>7000</v>
      </c>
      <c r="K46" s="220">
        <v>67304</v>
      </c>
      <c r="L46" s="221">
        <f>110000+69134+5000+33000</f>
        <v>217134</v>
      </c>
      <c r="M46" s="351"/>
    </row>
    <row r="47" spans="1:13" s="192" customFormat="1" ht="9" customHeight="1">
      <c r="A47" s="218"/>
      <c r="B47" s="210"/>
      <c r="C47" s="260"/>
      <c r="D47" s="260"/>
      <c r="E47" s="210"/>
      <c r="F47" s="260"/>
      <c r="G47" s="210"/>
      <c r="H47" s="260"/>
      <c r="I47" s="260"/>
      <c r="J47" s="260"/>
      <c r="K47" s="210"/>
      <c r="L47" s="211"/>
      <c r="M47" s="351"/>
    </row>
    <row r="48" spans="1:13" s="192" customFormat="1">
      <c r="A48" s="214" t="s">
        <v>239</v>
      </c>
      <c r="B48" s="210"/>
      <c r="C48" s="260">
        <v>9897</v>
      </c>
      <c r="D48" s="260">
        <v>12645</v>
      </c>
      <c r="E48" s="210">
        <v>12816</v>
      </c>
      <c r="F48" s="260">
        <v>4069</v>
      </c>
      <c r="G48" s="210">
        <v>22969</v>
      </c>
      <c r="H48" s="260">
        <v>7529</v>
      </c>
      <c r="I48" s="260">
        <v>198</v>
      </c>
      <c r="J48" s="260"/>
      <c r="K48" s="210"/>
      <c r="L48" s="211"/>
      <c r="M48" s="351"/>
    </row>
    <row r="49" spans="1:14" s="192" customFormat="1">
      <c r="A49" s="214" t="s">
        <v>285</v>
      </c>
      <c r="B49" s="210"/>
      <c r="C49" s="260">
        <v>24047</v>
      </c>
      <c r="D49" s="260">
        <f>12907+2160+14076+11340+8505</f>
        <v>48988</v>
      </c>
      <c r="E49" s="210">
        <f>9020+11677+11340</f>
        <v>32037</v>
      </c>
      <c r="F49" s="260">
        <v>14230</v>
      </c>
      <c r="G49" s="210">
        <f>30354+11658+29420+2177+5315</f>
        <v>78924</v>
      </c>
      <c r="H49" s="260">
        <v>18757</v>
      </c>
      <c r="I49" s="260">
        <v>789</v>
      </c>
      <c r="J49" s="260">
        <v>8160</v>
      </c>
      <c r="K49" s="210">
        <v>40830</v>
      </c>
      <c r="L49" s="211">
        <v>179590</v>
      </c>
      <c r="M49" s="351"/>
    </row>
    <row r="50" spans="1:14" s="219" customFormat="1">
      <c r="A50" s="223" t="s">
        <v>286</v>
      </c>
      <c r="B50" s="220">
        <f>SUM(B48:B49)</f>
        <v>0</v>
      </c>
      <c r="C50" s="259">
        <f t="shared" ref="C50:L50" si="3">SUM(C48:C49)</f>
        <v>33944</v>
      </c>
      <c r="D50" s="259">
        <f t="shared" si="3"/>
        <v>61633</v>
      </c>
      <c r="E50" s="220">
        <f t="shared" si="3"/>
        <v>44853</v>
      </c>
      <c r="F50" s="259">
        <f t="shared" si="3"/>
        <v>18299</v>
      </c>
      <c r="G50" s="220">
        <f t="shared" si="3"/>
        <v>101893</v>
      </c>
      <c r="H50" s="259">
        <f t="shared" si="3"/>
        <v>26286</v>
      </c>
      <c r="I50" s="259">
        <f t="shared" si="3"/>
        <v>987</v>
      </c>
      <c r="J50" s="259">
        <f t="shared" si="3"/>
        <v>8160</v>
      </c>
      <c r="K50" s="220">
        <f t="shared" si="3"/>
        <v>40830</v>
      </c>
      <c r="L50" s="221">
        <f t="shared" si="3"/>
        <v>179590</v>
      </c>
      <c r="M50" s="351"/>
    </row>
    <row r="51" spans="1:14" s="219" customFormat="1" ht="9" customHeight="1">
      <c r="A51" s="223"/>
      <c r="B51" s="220"/>
      <c r="C51" s="259"/>
      <c r="D51" s="259"/>
      <c r="E51" s="220"/>
      <c r="F51" s="259"/>
      <c r="G51" s="220"/>
      <c r="H51" s="259"/>
      <c r="I51" s="259"/>
      <c r="J51" s="259"/>
      <c r="K51" s="220"/>
      <c r="L51" s="221"/>
      <c r="M51" s="351"/>
    </row>
    <row r="52" spans="1:14">
      <c r="A52" s="214" t="s">
        <v>287</v>
      </c>
      <c r="B52" s="210">
        <v>-100147</v>
      </c>
      <c r="C52" s="260">
        <v>-142018</v>
      </c>
      <c r="D52" s="260">
        <v>-258862</v>
      </c>
      <c r="E52" s="210">
        <v>-129323</v>
      </c>
      <c r="F52" s="260">
        <v>-152498</v>
      </c>
      <c r="G52" s="210">
        <v>-406863</v>
      </c>
      <c r="H52" s="260">
        <v>-74759</v>
      </c>
      <c r="I52" s="260">
        <v>-137909</v>
      </c>
      <c r="J52" s="260"/>
      <c r="K52" s="210"/>
      <c r="L52" s="211">
        <v>1402379</v>
      </c>
      <c r="M52" s="351"/>
    </row>
    <row r="53" spans="1:14" ht="9" customHeight="1">
      <c r="A53" s="214"/>
      <c r="B53" s="210"/>
      <c r="C53" s="260"/>
      <c r="D53" s="260"/>
      <c r="E53" s="210"/>
      <c r="F53" s="260"/>
      <c r="G53" s="210"/>
      <c r="H53" s="260"/>
      <c r="I53" s="260"/>
      <c r="J53" s="260"/>
      <c r="K53" s="210"/>
      <c r="L53" s="211"/>
      <c r="M53" s="351"/>
    </row>
    <row r="54" spans="1:14" ht="27">
      <c r="A54" s="28" t="s">
        <v>276</v>
      </c>
      <c r="B54" s="210"/>
      <c r="C54" s="260"/>
      <c r="D54" s="260"/>
      <c r="E54" s="210"/>
      <c r="F54" s="260"/>
      <c r="G54" s="210"/>
      <c r="H54" s="260"/>
      <c r="I54" s="260"/>
      <c r="J54" s="260"/>
      <c r="K54" s="210"/>
      <c r="L54" s="211">
        <f>1408440+1849426-496542+926881</f>
        <v>3688205</v>
      </c>
      <c r="M54" s="351"/>
      <c r="N54" s="351"/>
    </row>
    <row r="55" spans="1:14" ht="11.25" customHeight="1">
      <c r="A55" s="214"/>
      <c r="B55" s="210"/>
      <c r="C55" s="260"/>
      <c r="D55" s="260"/>
      <c r="E55" s="210"/>
      <c r="F55" s="260"/>
      <c r="G55" s="210"/>
      <c r="H55" s="260"/>
      <c r="I55" s="260"/>
      <c r="J55" s="260"/>
      <c r="K55" s="210"/>
      <c r="L55" s="211"/>
      <c r="M55" s="351"/>
    </row>
    <row r="56" spans="1:14" s="219" customFormat="1" ht="18.75" customHeight="1">
      <c r="A56" s="223" t="s">
        <v>240</v>
      </c>
      <c r="B56" s="220">
        <f t="shared" ref="B56:K56" si="4">B36+B40+B42+B44+B46+B50+B52</f>
        <v>199745.72499999998</v>
      </c>
      <c r="C56" s="259">
        <f t="shared" si="4"/>
        <v>804855.08499999996</v>
      </c>
      <c r="D56" s="220">
        <f t="shared" si="4"/>
        <v>606318.69999999995</v>
      </c>
      <c r="E56" s="220">
        <f t="shared" si="4"/>
        <v>420672.15</v>
      </c>
      <c r="F56" s="259">
        <f t="shared" si="4"/>
        <v>743916.51500000001</v>
      </c>
      <c r="G56" s="220">
        <f t="shared" si="4"/>
        <v>781412.92500000005</v>
      </c>
      <c r="H56" s="259">
        <f t="shared" si="4"/>
        <v>383303.84499999997</v>
      </c>
      <c r="I56" s="220">
        <f t="shared" si="4"/>
        <v>351148.53</v>
      </c>
      <c r="J56" s="259">
        <f t="shared" si="4"/>
        <v>72827.25</v>
      </c>
      <c r="K56" s="220">
        <f t="shared" si="4"/>
        <v>321677.5</v>
      </c>
      <c r="L56" s="221">
        <f>L36+L40+L42+L44+L46+L50+L52+1408440</f>
        <v>3470101.4</v>
      </c>
      <c r="M56" s="357"/>
    </row>
    <row r="57" spans="1:14">
      <c r="A57" s="14" t="s">
        <v>21</v>
      </c>
      <c r="B57" s="15">
        <v>258718</v>
      </c>
      <c r="C57" s="11">
        <v>478916</v>
      </c>
      <c r="D57" s="11">
        <v>994139</v>
      </c>
      <c r="E57" s="11">
        <v>371582</v>
      </c>
      <c r="F57" s="11">
        <v>325317</v>
      </c>
      <c r="G57" s="11">
        <f>451934+92053</f>
        <v>543987</v>
      </c>
      <c r="H57" s="11">
        <v>201267</v>
      </c>
      <c r="I57" s="11">
        <v>310314</v>
      </c>
      <c r="J57" s="11">
        <v>207164</v>
      </c>
      <c r="K57" s="11">
        <v>441108</v>
      </c>
      <c r="L57" s="89">
        <f>644760+1352884+926880</f>
        <v>2924524</v>
      </c>
      <c r="M57" s="351"/>
      <c r="N57" s="351"/>
    </row>
    <row r="58" spans="1:14">
      <c r="A58" s="17" t="s">
        <v>272</v>
      </c>
      <c r="B58" s="230">
        <v>-18515</v>
      </c>
      <c r="C58" s="231">
        <v>-181426</v>
      </c>
      <c r="D58" s="231">
        <f>-K58*33.3%</f>
        <v>-281544.83999999997</v>
      </c>
      <c r="E58" s="231">
        <f>-K58*23.2%</f>
        <v>-196151.36</v>
      </c>
      <c r="F58" s="231">
        <v>-187442</v>
      </c>
      <c r="G58" s="231">
        <f>-K58*43.5%</f>
        <v>-367783.8</v>
      </c>
      <c r="H58" s="231">
        <v>-74473</v>
      </c>
      <c r="I58" s="231">
        <v>-16533</v>
      </c>
      <c r="J58" s="231">
        <f>-C58-F58-H58-46353</f>
        <v>396988</v>
      </c>
      <c r="K58" s="231">
        <v>845480</v>
      </c>
      <c r="L58" s="274">
        <v>81401</v>
      </c>
    </row>
    <row r="59" spans="1:14" s="344" customFormat="1" ht="18.75" customHeight="1">
      <c r="A59" s="341" t="s">
        <v>247</v>
      </c>
      <c r="B59" s="342">
        <f t="shared" ref="B59:L59" si="5">B56+B57+B58</f>
        <v>439948.72499999998</v>
      </c>
      <c r="C59" s="342">
        <f t="shared" si="5"/>
        <v>1102345.085</v>
      </c>
      <c r="D59" s="342">
        <f t="shared" si="5"/>
        <v>1318912.8599999999</v>
      </c>
      <c r="E59" s="342">
        <f t="shared" si="5"/>
        <v>596102.79</v>
      </c>
      <c r="F59" s="342">
        <f t="shared" si="5"/>
        <v>881791.51500000013</v>
      </c>
      <c r="G59" s="342">
        <f t="shared" si="5"/>
        <v>957616.125</v>
      </c>
      <c r="H59" s="342">
        <f t="shared" si="5"/>
        <v>510097.84499999997</v>
      </c>
      <c r="I59" s="342">
        <f t="shared" si="5"/>
        <v>644929.53</v>
      </c>
      <c r="J59" s="342">
        <f t="shared" si="5"/>
        <v>676979.25</v>
      </c>
      <c r="K59" s="342">
        <f t="shared" si="5"/>
        <v>1608265.5</v>
      </c>
      <c r="L59" s="343">
        <f t="shared" si="5"/>
        <v>6476026.4000000004</v>
      </c>
      <c r="M59" s="350"/>
    </row>
    <row r="60" spans="1:14">
      <c r="A60" s="6" t="s">
        <v>248</v>
      </c>
      <c r="B60" s="9">
        <v>275700</v>
      </c>
      <c r="C60" s="7">
        <v>575216</v>
      </c>
      <c r="D60" s="7">
        <v>824865</v>
      </c>
      <c r="E60" s="7">
        <v>452130</v>
      </c>
      <c r="F60" s="8">
        <v>591936</v>
      </c>
      <c r="G60" s="8">
        <v>800590</v>
      </c>
      <c r="H60" s="8">
        <v>274681</v>
      </c>
      <c r="I60" s="8">
        <v>469667</v>
      </c>
      <c r="J60" s="8">
        <v>213949</v>
      </c>
      <c r="K60" s="7">
        <v>416159</v>
      </c>
      <c r="L60" s="233">
        <v>952543</v>
      </c>
    </row>
    <row r="61" spans="1:14">
      <c r="A61" s="6" t="s">
        <v>22</v>
      </c>
      <c r="B61" s="9">
        <v>64719</v>
      </c>
      <c r="C61" s="7">
        <v>125556</v>
      </c>
      <c r="D61" s="7">
        <v>185730</v>
      </c>
      <c r="E61" s="7">
        <v>103773</v>
      </c>
      <c r="F61" s="8">
        <v>128806</v>
      </c>
      <c r="G61" s="8">
        <v>183199</v>
      </c>
      <c r="H61" s="8">
        <v>60079</v>
      </c>
      <c r="I61" s="8">
        <v>102513</v>
      </c>
      <c r="J61" s="8">
        <v>46154</v>
      </c>
      <c r="K61" s="7">
        <v>95338</v>
      </c>
      <c r="L61" s="233">
        <v>210803</v>
      </c>
    </row>
    <row r="62" spans="1:14">
      <c r="A62" s="6" t="s">
        <v>3</v>
      </c>
      <c r="B62" s="9">
        <v>750670</v>
      </c>
      <c r="C62" s="7">
        <v>161093</v>
      </c>
      <c r="D62" s="7">
        <v>318457</v>
      </c>
      <c r="E62" s="7">
        <v>22449</v>
      </c>
      <c r="F62" s="8">
        <v>164614</v>
      </c>
      <c r="G62" s="8">
        <f>218308</f>
        <v>218308</v>
      </c>
      <c r="H62" s="8">
        <v>136202</v>
      </c>
      <c r="I62" s="8">
        <v>85827</v>
      </c>
      <c r="J62" s="8">
        <v>427071</v>
      </c>
      <c r="K62" s="7">
        <v>1173353</v>
      </c>
      <c r="L62" s="233">
        <v>1065788</v>
      </c>
    </row>
    <row r="63" spans="1:14">
      <c r="A63" s="6" t="s">
        <v>250</v>
      </c>
      <c r="B63" s="9"/>
      <c r="C63" s="327"/>
      <c r="D63" s="7"/>
      <c r="E63" s="7"/>
      <c r="F63" s="8"/>
      <c r="G63" s="8">
        <v>40</v>
      </c>
      <c r="H63" s="8">
        <v>1620</v>
      </c>
      <c r="I63" s="8"/>
      <c r="J63" s="8"/>
      <c r="K63" s="7"/>
      <c r="L63" s="233">
        <v>1600</v>
      </c>
    </row>
    <row r="64" spans="1:14">
      <c r="A64" s="6" t="s">
        <v>4</v>
      </c>
      <c r="B64" s="9">
        <v>48181</v>
      </c>
      <c r="C64" s="7">
        <v>195953</v>
      </c>
      <c r="D64" s="7">
        <v>137418</v>
      </c>
      <c r="E64" s="7">
        <v>187452</v>
      </c>
      <c r="F64" s="8">
        <v>169749</v>
      </c>
      <c r="G64" s="8">
        <v>228412</v>
      </c>
      <c r="H64" s="8">
        <v>100042</v>
      </c>
      <c r="I64" s="8">
        <v>124256</v>
      </c>
      <c r="J64" s="8">
        <v>850</v>
      </c>
      <c r="K64" s="7">
        <v>1749</v>
      </c>
      <c r="L64" s="233">
        <v>487404</v>
      </c>
    </row>
    <row r="65" spans="1:13">
      <c r="A65" s="6" t="s">
        <v>249</v>
      </c>
      <c r="B65" s="9"/>
      <c r="C65" s="7">
        <f>50181+408</f>
        <v>50589</v>
      </c>
      <c r="D65" s="7">
        <v>8890</v>
      </c>
      <c r="E65" s="7"/>
      <c r="F65" s="8">
        <f>9708+12081</f>
        <v>21789</v>
      </c>
      <c r="G65" s="8">
        <f>394+9068</f>
        <v>9462</v>
      </c>
      <c r="H65" s="8">
        <v>14559</v>
      </c>
      <c r="I65" s="8">
        <f>3175+1270</f>
        <v>4445</v>
      </c>
      <c r="J65" s="8">
        <f>4224+18545</f>
        <v>22769</v>
      </c>
      <c r="K65" s="7">
        <v>190286</v>
      </c>
      <c r="L65" s="233">
        <f>49440+69683</f>
        <v>119123</v>
      </c>
    </row>
    <row r="66" spans="1:13">
      <c r="A66" s="6"/>
      <c r="B66" s="9"/>
      <c r="C66" s="7"/>
      <c r="D66" s="7"/>
      <c r="E66" s="7"/>
      <c r="F66" s="8"/>
      <c r="G66" s="8"/>
      <c r="H66" s="8"/>
      <c r="I66" s="8"/>
      <c r="J66" s="8"/>
      <c r="K66" s="7"/>
      <c r="L66" s="233"/>
    </row>
    <row r="67" spans="1:13">
      <c r="A67" s="234" t="s">
        <v>23</v>
      </c>
      <c r="B67" s="9"/>
      <c r="C67" s="7"/>
      <c r="D67" s="7"/>
      <c r="E67" s="7"/>
      <c r="F67" s="8"/>
      <c r="G67" s="8"/>
      <c r="H67" s="8"/>
      <c r="I67" s="8"/>
      <c r="J67" s="8"/>
      <c r="K67" s="7"/>
      <c r="L67" s="233">
        <v>1408440</v>
      </c>
    </row>
    <row r="68" spans="1:13" s="344" customFormat="1" ht="19.5" customHeight="1">
      <c r="A68" s="341" t="s">
        <v>277</v>
      </c>
      <c r="B68" s="345">
        <f t="shared" ref="B68:L68" si="6">SUM(B60:B67)</f>
        <v>1139270</v>
      </c>
      <c r="C68" s="346">
        <f t="shared" si="6"/>
        <v>1108407</v>
      </c>
      <c r="D68" s="346">
        <f t="shared" si="6"/>
        <v>1475360</v>
      </c>
      <c r="E68" s="346">
        <f t="shared" si="6"/>
        <v>765804</v>
      </c>
      <c r="F68" s="346">
        <f t="shared" si="6"/>
        <v>1076894</v>
      </c>
      <c r="G68" s="346">
        <f t="shared" si="6"/>
        <v>1440011</v>
      </c>
      <c r="H68" s="346">
        <f t="shared" si="6"/>
        <v>587183</v>
      </c>
      <c r="I68" s="346">
        <f t="shared" si="6"/>
        <v>786708</v>
      </c>
      <c r="J68" s="346">
        <f t="shared" si="6"/>
        <v>710793</v>
      </c>
      <c r="K68" s="346">
        <f t="shared" si="6"/>
        <v>1876885</v>
      </c>
      <c r="L68" s="347">
        <f t="shared" si="6"/>
        <v>4245701</v>
      </c>
      <c r="M68" s="350"/>
    </row>
    <row r="69" spans="1:13" s="336" customFormat="1" ht="21" customHeight="1" thickBot="1">
      <c r="A69" s="235" t="s">
        <v>275</v>
      </c>
      <c r="B69" s="337">
        <f t="shared" ref="B69:L69" si="7">B59-B68</f>
        <v>-699321.27500000002</v>
      </c>
      <c r="C69" s="337">
        <f t="shared" si="7"/>
        <v>-6061.9150000000373</v>
      </c>
      <c r="D69" s="337">
        <f t="shared" si="7"/>
        <v>-156447.14000000013</v>
      </c>
      <c r="E69" s="337">
        <f t="shared" si="7"/>
        <v>-169701.20999999996</v>
      </c>
      <c r="F69" s="337">
        <f t="shared" si="7"/>
        <v>-195102.48499999987</v>
      </c>
      <c r="G69" s="337">
        <f t="shared" si="7"/>
        <v>-482394.875</v>
      </c>
      <c r="H69" s="337">
        <f t="shared" si="7"/>
        <v>-77085.155000000028</v>
      </c>
      <c r="I69" s="337">
        <f t="shared" si="7"/>
        <v>-141778.46999999997</v>
      </c>
      <c r="J69" s="337">
        <f t="shared" si="7"/>
        <v>-33813.75</v>
      </c>
      <c r="K69" s="337">
        <f>1608266-1876885</f>
        <v>-268619</v>
      </c>
      <c r="L69" s="338">
        <f t="shared" si="7"/>
        <v>2230325.4000000004</v>
      </c>
      <c r="M69" s="352"/>
    </row>
    <row r="71" spans="1:13">
      <c r="A71" s="219"/>
      <c r="B71" s="219"/>
      <c r="C71" s="219"/>
    </row>
    <row r="72" spans="1:13">
      <c r="D72" s="351"/>
      <c r="F72" s="351"/>
    </row>
    <row r="73" spans="1:13">
      <c r="D73" s="351"/>
      <c r="F73" s="351"/>
    </row>
    <row r="74" spans="1:13">
      <c r="D74" s="351"/>
      <c r="F74" s="351"/>
    </row>
    <row r="75" spans="1:13">
      <c r="B75" s="354"/>
      <c r="C75" s="219"/>
      <c r="D75" s="205"/>
      <c r="E75" s="205"/>
      <c r="F75" s="205"/>
    </row>
    <row r="76" spans="1:13">
      <c r="B76" s="205"/>
      <c r="C76" s="355"/>
      <c r="D76" s="353"/>
      <c r="E76" s="205"/>
      <c r="F76" s="356"/>
    </row>
    <row r="77" spans="1:13">
      <c r="B77" s="205"/>
      <c r="C77" s="355"/>
      <c r="D77" s="353"/>
      <c r="E77" s="205"/>
      <c r="F77" s="356"/>
    </row>
    <row r="78" spans="1:13">
      <c r="B78" s="205"/>
      <c r="C78" s="355"/>
      <c r="D78" s="353"/>
      <c r="E78" s="205"/>
      <c r="F78" s="356"/>
    </row>
    <row r="79" spans="1:13">
      <c r="C79" s="205"/>
      <c r="D79" s="205"/>
      <c r="E79" s="205"/>
      <c r="F79" s="205"/>
    </row>
  </sheetData>
  <mergeCells count="13"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51181102362204722" right="0.51181102362204722" top="0.15748031496062992" bottom="0" header="0.11811023622047245" footer="0"/>
  <pageSetup paperSize="9" scale="69" orientation="landscape" r:id="rId1"/>
  <headerFooter>
    <oddHeader>&amp;R&amp;"Times New Roman,Dőlt"6.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19" zoomScale="90" zoomScaleNormal="90" workbookViewId="0">
      <selection activeCell="E43" sqref="E43:E45"/>
    </sheetView>
  </sheetViews>
  <sheetFormatPr defaultRowHeight="12.75"/>
  <cols>
    <col min="1" max="1" width="46.7109375" style="1" customWidth="1"/>
    <col min="2" max="5" width="12.7109375" style="1" customWidth="1"/>
    <col min="6" max="6" width="12.7109375" style="20" customWidth="1"/>
    <col min="7" max="13" width="12.7109375" style="1" customWidth="1"/>
    <col min="14" max="14" width="25.7109375" style="1" customWidth="1"/>
    <col min="15" max="195" width="9.140625" style="1"/>
    <col min="196" max="196" width="31.28515625" style="1" customWidth="1"/>
    <col min="197" max="197" width="9.85546875" style="1" customWidth="1"/>
    <col min="198" max="199" width="9.28515625" style="1" customWidth="1"/>
    <col min="200" max="202" width="9.140625" style="1"/>
    <col min="203" max="204" width="8.28515625" style="1" customWidth="1"/>
    <col min="205" max="205" width="9.140625" style="1" customWidth="1"/>
    <col min="206" max="207" width="9.140625" style="1"/>
    <col min="208" max="208" width="8.28515625" style="1" customWidth="1"/>
    <col min="209" max="209" width="9.140625" style="1"/>
    <col min="210" max="210" width="7.42578125" style="1" customWidth="1"/>
    <col min="211" max="211" width="8.7109375" style="1" customWidth="1"/>
    <col min="212" max="212" width="11.5703125" style="1" customWidth="1"/>
    <col min="213" max="451" width="9.140625" style="1"/>
    <col min="452" max="452" width="31.28515625" style="1" customWidth="1"/>
    <col min="453" max="453" width="9.85546875" style="1" customWidth="1"/>
    <col min="454" max="455" width="9.28515625" style="1" customWidth="1"/>
    <col min="456" max="458" width="9.140625" style="1"/>
    <col min="459" max="460" width="8.28515625" style="1" customWidth="1"/>
    <col min="461" max="461" width="9.140625" style="1" customWidth="1"/>
    <col min="462" max="463" width="9.140625" style="1"/>
    <col min="464" max="464" width="8.28515625" style="1" customWidth="1"/>
    <col min="465" max="465" width="9.140625" style="1"/>
    <col min="466" max="466" width="7.42578125" style="1" customWidth="1"/>
    <col min="467" max="467" width="8.7109375" style="1" customWidth="1"/>
    <col min="468" max="468" width="11.5703125" style="1" customWidth="1"/>
    <col min="469" max="707" width="9.140625" style="1"/>
    <col min="708" max="708" width="31.28515625" style="1" customWidth="1"/>
    <col min="709" max="709" width="9.85546875" style="1" customWidth="1"/>
    <col min="710" max="711" width="9.28515625" style="1" customWidth="1"/>
    <col min="712" max="714" width="9.140625" style="1"/>
    <col min="715" max="716" width="8.28515625" style="1" customWidth="1"/>
    <col min="717" max="717" width="9.140625" style="1" customWidth="1"/>
    <col min="718" max="719" width="9.140625" style="1"/>
    <col min="720" max="720" width="8.28515625" style="1" customWidth="1"/>
    <col min="721" max="721" width="9.140625" style="1"/>
    <col min="722" max="722" width="7.42578125" style="1" customWidth="1"/>
    <col min="723" max="723" width="8.7109375" style="1" customWidth="1"/>
    <col min="724" max="724" width="11.5703125" style="1" customWidth="1"/>
    <col min="725" max="963" width="9.140625" style="1"/>
    <col min="964" max="964" width="31.28515625" style="1" customWidth="1"/>
    <col min="965" max="965" width="9.85546875" style="1" customWidth="1"/>
    <col min="966" max="967" width="9.28515625" style="1" customWidth="1"/>
    <col min="968" max="970" width="9.140625" style="1"/>
    <col min="971" max="972" width="8.28515625" style="1" customWidth="1"/>
    <col min="973" max="973" width="9.140625" style="1" customWidth="1"/>
    <col min="974" max="975" width="9.140625" style="1"/>
    <col min="976" max="976" width="8.28515625" style="1" customWidth="1"/>
    <col min="977" max="977" width="9.140625" style="1"/>
    <col min="978" max="978" width="7.42578125" style="1" customWidth="1"/>
    <col min="979" max="979" width="8.7109375" style="1" customWidth="1"/>
    <col min="980" max="980" width="11.5703125" style="1" customWidth="1"/>
    <col min="981" max="1219" width="9.140625" style="1"/>
    <col min="1220" max="1220" width="31.28515625" style="1" customWidth="1"/>
    <col min="1221" max="1221" width="9.85546875" style="1" customWidth="1"/>
    <col min="1222" max="1223" width="9.28515625" style="1" customWidth="1"/>
    <col min="1224" max="1226" width="9.140625" style="1"/>
    <col min="1227" max="1228" width="8.28515625" style="1" customWidth="1"/>
    <col min="1229" max="1229" width="9.140625" style="1" customWidth="1"/>
    <col min="1230" max="1231" width="9.140625" style="1"/>
    <col min="1232" max="1232" width="8.28515625" style="1" customWidth="1"/>
    <col min="1233" max="1233" width="9.140625" style="1"/>
    <col min="1234" max="1234" width="7.42578125" style="1" customWidth="1"/>
    <col min="1235" max="1235" width="8.7109375" style="1" customWidth="1"/>
    <col min="1236" max="1236" width="11.5703125" style="1" customWidth="1"/>
    <col min="1237" max="1475" width="9.140625" style="1"/>
    <col min="1476" max="1476" width="31.28515625" style="1" customWidth="1"/>
    <col min="1477" max="1477" width="9.85546875" style="1" customWidth="1"/>
    <col min="1478" max="1479" width="9.28515625" style="1" customWidth="1"/>
    <col min="1480" max="1482" width="9.140625" style="1"/>
    <col min="1483" max="1484" width="8.28515625" style="1" customWidth="1"/>
    <col min="1485" max="1485" width="9.140625" style="1" customWidth="1"/>
    <col min="1486" max="1487" width="9.140625" style="1"/>
    <col min="1488" max="1488" width="8.28515625" style="1" customWidth="1"/>
    <col min="1489" max="1489" width="9.140625" style="1"/>
    <col min="1490" max="1490" width="7.42578125" style="1" customWidth="1"/>
    <col min="1491" max="1491" width="8.7109375" style="1" customWidth="1"/>
    <col min="1492" max="1492" width="11.5703125" style="1" customWidth="1"/>
    <col min="1493" max="1731" width="9.140625" style="1"/>
    <col min="1732" max="1732" width="31.28515625" style="1" customWidth="1"/>
    <col min="1733" max="1733" width="9.85546875" style="1" customWidth="1"/>
    <col min="1734" max="1735" width="9.28515625" style="1" customWidth="1"/>
    <col min="1736" max="1738" width="9.140625" style="1"/>
    <col min="1739" max="1740" width="8.28515625" style="1" customWidth="1"/>
    <col min="1741" max="1741" width="9.140625" style="1" customWidth="1"/>
    <col min="1742" max="1743" width="9.140625" style="1"/>
    <col min="1744" max="1744" width="8.28515625" style="1" customWidth="1"/>
    <col min="1745" max="1745" width="9.140625" style="1"/>
    <col min="1746" max="1746" width="7.42578125" style="1" customWidth="1"/>
    <col min="1747" max="1747" width="8.7109375" style="1" customWidth="1"/>
    <col min="1748" max="1748" width="11.5703125" style="1" customWidth="1"/>
    <col min="1749" max="1987" width="9.140625" style="1"/>
    <col min="1988" max="1988" width="31.28515625" style="1" customWidth="1"/>
    <col min="1989" max="1989" width="9.85546875" style="1" customWidth="1"/>
    <col min="1990" max="1991" width="9.28515625" style="1" customWidth="1"/>
    <col min="1992" max="1994" width="9.140625" style="1"/>
    <col min="1995" max="1996" width="8.28515625" style="1" customWidth="1"/>
    <col min="1997" max="1997" width="9.140625" style="1" customWidth="1"/>
    <col min="1998" max="1999" width="9.140625" style="1"/>
    <col min="2000" max="2000" width="8.28515625" style="1" customWidth="1"/>
    <col min="2001" max="2001" width="9.140625" style="1"/>
    <col min="2002" max="2002" width="7.42578125" style="1" customWidth="1"/>
    <col min="2003" max="2003" width="8.7109375" style="1" customWidth="1"/>
    <col min="2004" max="2004" width="11.5703125" style="1" customWidth="1"/>
    <col min="2005" max="2243" width="9.140625" style="1"/>
    <col min="2244" max="2244" width="31.28515625" style="1" customWidth="1"/>
    <col min="2245" max="2245" width="9.85546875" style="1" customWidth="1"/>
    <col min="2246" max="2247" width="9.28515625" style="1" customWidth="1"/>
    <col min="2248" max="2250" width="9.140625" style="1"/>
    <col min="2251" max="2252" width="8.28515625" style="1" customWidth="1"/>
    <col min="2253" max="2253" width="9.140625" style="1" customWidth="1"/>
    <col min="2254" max="2255" width="9.140625" style="1"/>
    <col min="2256" max="2256" width="8.28515625" style="1" customWidth="1"/>
    <col min="2257" max="2257" width="9.140625" style="1"/>
    <col min="2258" max="2258" width="7.42578125" style="1" customWidth="1"/>
    <col min="2259" max="2259" width="8.7109375" style="1" customWidth="1"/>
    <col min="2260" max="2260" width="11.5703125" style="1" customWidth="1"/>
    <col min="2261" max="2499" width="9.140625" style="1"/>
    <col min="2500" max="2500" width="31.28515625" style="1" customWidth="1"/>
    <col min="2501" max="2501" width="9.85546875" style="1" customWidth="1"/>
    <col min="2502" max="2503" width="9.28515625" style="1" customWidth="1"/>
    <col min="2504" max="2506" width="9.140625" style="1"/>
    <col min="2507" max="2508" width="8.28515625" style="1" customWidth="1"/>
    <col min="2509" max="2509" width="9.140625" style="1" customWidth="1"/>
    <col min="2510" max="2511" width="9.140625" style="1"/>
    <col min="2512" max="2512" width="8.28515625" style="1" customWidth="1"/>
    <col min="2513" max="2513" width="9.140625" style="1"/>
    <col min="2514" max="2514" width="7.42578125" style="1" customWidth="1"/>
    <col min="2515" max="2515" width="8.7109375" style="1" customWidth="1"/>
    <col min="2516" max="2516" width="11.5703125" style="1" customWidth="1"/>
    <col min="2517" max="2755" width="9.140625" style="1"/>
    <col min="2756" max="2756" width="31.28515625" style="1" customWidth="1"/>
    <col min="2757" max="2757" width="9.85546875" style="1" customWidth="1"/>
    <col min="2758" max="2759" width="9.28515625" style="1" customWidth="1"/>
    <col min="2760" max="2762" width="9.140625" style="1"/>
    <col min="2763" max="2764" width="8.28515625" style="1" customWidth="1"/>
    <col min="2765" max="2765" width="9.140625" style="1" customWidth="1"/>
    <col min="2766" max="2767" width="9.140625" style="1"/>
    <col min="2768" max="2768" width="8.28515625" style="1" customWidth="1"/>
    <col min="2769" max="2769" width="9.140625" style="1"/>
    <col min="2770" max="2770" width="7.42578125" style="1" customWidth="1"/>
    <col min="2771" max="2771" width="8.7109375" style="1" customWidth="1"/>
    <col min="2772" max="2772" width="11.5703125" style="1" customWidth="1"/>
    <col min="2773" max="3011" width="9.140625" style="1"/>
    <col min="3012" max="3012" width="31.28515625" style="1" customWidth="1"/>
    <col min="3013" max="3013" width="9.85546875" style="1" customWidth="1"/>
    <col min="3014" max="3015" width="9.28515625" style="1" customWidth="1"/>
    <col min="3016" max="3018" width="9.140625" style="1"/>
    <col min="3019" max="3020" width="8.28515625" style="1" customWidth="1"/>
    <col min="3021" max="3021" width="9.140625" style="1" customWidth="1"/>
    <col min="3022" max="3023" width="9.140625" style="1"/>
    <col min="3024" max="3024" width="8.28515625" style="1" customWidth="1"/>
    <col min="3025" max="3025" width="9.140625" style="1"/>
    <col min="3026" max="3026" width="7.42578125" style="1" customWidth="1"/>
    <col min="3027" max="3027" width="8.7109375" style="1" customWidth="1"/>
    <col min="3028" max="3028" width="11.5703125" style="1" customWidth="1"/>
    <col min="3029" max="3267" width="9.140625" style="1"/>
    <col min="3268" max="3268" width="31.28515625" style="1" customWidth="1"/>
    <col min="3269" max="3269" width="9.85546875" style="1" customWidth="1"/>
    <col min="3270" max="3271" width="9.28515625" style="1" customWidth="1"/>
    <col min="3272" max="3274" width="9.140625" style="1"/>
    <col min="3275" max="3276" width="8.28515625" style="1" customWidth="1"/>
    <col min="3277" max="3277" width="9.140625" style="1" customWidth="1"/>
    <col min="3278" max="3279" width="9.140625" style="1"/>
    <col min="3280" max="3280" width="8.28515625" style="1" customWidth="1"/>
    <col min="3281" max="3281" width="9.140625" style="1"/>
    <col min="3282" max="3282" width="7.42578125" style="1" customWidth="1"/>
    <col min="3283" max="3283" width="8.7109375" style="1" customWidth="1"/>
    <col min="3284" max="3284" width="11.5703125" style="1" customWidth="1"/>
    <col min="3285" max="3523" width="9.140625" style="1"/>
    <col min="3524" max="3524" width="31.28515625" style="1" customWidth="1"/>
    <col min="3525" max="3525" width="9.85546875" style="1" customWidth="1"/>
    <col min="3526" max="3527" width="9.28515625" style="1" customWidth="1"/>
    <col min="3528" max="3530" width="9.140625" style="1"/>
    <col min="3531" max="3532" width="8.28515625" style="1" customWidth="1"/>
    <col min="3533" max="3533" width="9.140625" style="1" customWidth="1"/>
    <col min="3534" max="3535" width="9.140625" style="1"/>
    <col min="3536" max="3536" width="8.28515625" style="1" customWidth="1"/>
    <col min="3537" max="3537" width="9.140625" style="1"/>
    <col min="3538" max="3538" width="7.42578125" style="1" customWidth="1"/>
    <col min="3539" max="3539" width="8.7109375" style="1" customWidth="1"/>
    <col min="3540" max="3540" width="11.5703125" style="1" customWidth="1"/>
    <col min="3541" max="3779" width="9.140625" style="1"/>
    <col min="3780" max="3780" width="31.28515625" style="1" customWidth="1"/>
    <col min="3781" max="3781" width="9.85546875" style="1" customWidth="1"/>
    <col min="3782" max="3783" width="9.28515625" style="1" customWidth="1"/>
    <col min="3784" max="3786" width="9.140625" style="1"/>
    <col min="3787" max="3788" width="8.28515625" style="1" customWidth="1"/>
    <col min="3789" max="3789" width="9.140625" style="1" customWidth="1"/>
    <col min="3790" max="3791" width="9.140625" style="1"/>
    <col min="3792" max="3792" width="8.28515625" style="1" customWidth="1"/>
    <col min="3793" max="3793" width="9.140625" style="1"/>
    <col min="3794" max="3794" width="7.42578125" style="1" customWidth="1"/>
    <col min="3795" max="3795" width="8.7109375" style="1" customWidth="1"/>
    <col min="3796" max="3796" width="11.5703125" style="1" customWidth="1"/>
    <col min="3797" max="4035" width="9.140625" style="1"/>
    <col min="4036" max="4036" width="31.28515625" style="1" customWidth="1"/>
    <col min="4037" max="4037" width="9.85546875" style="1" customWidth="1"/>
    <col min="4038" max="4039" width="9.28515625" style="1" customWidth="1"/>
    <col min="4040" max="4042" width="9.140625" style="1"/>
    <col min="4043" max="4044" width="8.28515625" style="1" customWidth="1"/>
    <col min="4045" max="4045" width="9.140625" style="1" customWidth="1"/>
    <col min="4046" max="4047" width="9.140625" style="1"/>
    <col min="4048" max="4048" width="8.28515625" style="1" customWidth="1"/>
    <col min="4049" max="4049" width="9.140625" style="1"/>
    <col min="4050" max="4050" width="7.42578125" style="1" customWidth="1"/>
    <col min="4051" max="4051" width="8.7109375" style="1" customWidth="1"/>
    <col min="4052" max="4052" width="11.5703125" style="1" customWidth="1"/>
    <col min="4053" max="4291" width="9.140625" style="1"/>
    <col min="4292" max="4292" width="31.28515625" style="1" customWidth="1"/>
    <col min="4293" max="4293" width="9.85546875" style="1" customWidth="1"/>
    <col min="4294" max="4295" width="9.28515625" style="1" customWidth="1"/>
    <col min="4296" max="4298" width="9.140625" style="1"/>
    <col min="4299" max="4300" width="8.28515625" style="1" customWidth="1"/>
    <col min="4301" max="4301" width="9.140625" style="1" customWidth="1"/>
    <col min="4302" max="4303" width="9.140625" style="1"/>
    <col min="4304" max="4304" width="8.28515625" style="1" customWidth="1"/>
    <col min="4305" max="4305" width="9.140625" style="1"/>
    <col min="4306" max="4306" width="7.42578125" style="1" customWidth="1"/>
    <col min="4307" max="4307" width="8.7109375" style="1" customWidth="1"/>
    <col min="4308" max="4308" width="11.5703125" style="1" customWidth="1"/>
    <col min="4309" max="4547" width="9.140625" style="1"/>
    <col min="4548" max="4548" width="31.28515625" style="1" customWidth="1"/>
    <col min="4549" max="4549" width="9.85546875" style="1" customWidth="1"/>
    <col min="4550" max="4551" width="9.28515625" style="1" customWidth="1"/>
    <col min="4552" max="4554" width="9.140625" style="1"/>
    <col min="4555" max="4556" width="8.28515625" style="1" customWidth="1"/>
    <col min="4557" max="4557" width="9.140625" style="1" customWidth="1"/>
    <col min="4558" max="4559" width="9.140625" style="1"/>
    <col min="4560" max="4560" width="8.28515625" style="1" customWidth="1"/>
    <col min="4561" max="4561" width="9.140625" style="1"/>
    <col min="4562" max="4562" width="7.42578125" style="1" customWidth="1"/>
    <col min="4563" max="4563" width="8.7109375" style="1" customWidth="1"/>
    <col min="4564" max="4564" width="11.5703125" style="1" customWidth="1"/>
    <col min="4565" max="4803" width="9.140625" style="1"/>
    <col min="4804" max="4804" width="31.28515625" style="1" customWidth="1"/>
    <col min="4805" max="4805" width="9.85546875" style="1" customWidth="1"/>
    <col min="4806" max="4807" width="9.28515625" style="1" customWidth="1"/>
    <col min="4808" max="4810" width="9.140625" style="1"/>
    <col min="4811" max="4812" width="8.28515625" style="1" customWidth="1"/>
    <col min="4813" max="4813" width="9.140625" style="1" customWidth="1"/>
    <col min="4814" max="4815" width="9.140625" style="1"/>
    <col min="4816" max="4816" width="8.28515625" style="1" customWidth="1"/>
    <col min="4817" max="4817" width="9.140625" style="1"/>
    <col min="4818" max="4818" width="7.42578125" style="1" customWidth="1"/>
    <col min="4819" max="4819" width="8.7109375" style="1" customWidth="1"/>
    <col min="4820" max="4820" width="11.5703125" style="1" customWidth="1"/>
    <col min="4821" max="5059" width="9.140625" style="1"/>
    <col min="5060" max="5060" width="31.28515625" style="1" customWidth="1"/>
    <col min="5061" max="5061" width="9.85546875" style="1" customWidth="1"/>
    <col min="5062" max="5063" width="9.28515625" style="1" customWidth="1"/>
    <col min="5064" max="5066" width="9.140625" style="1"/>
    <col min="5067" max="5068" width="8.28515625" style="1" customWidth="1"/>
    <col min="5069" max="5069" width="9.140625" style="1" customWidth="1"/>
    <col min="5070" max="5071" width="9.140625" style="1"/>
    <col min="5072" max="5072" width="8.28515625" style="1" customWidth="1"/>
    <col min="5073" max="5073" width="9.140625" style="1"/>
    <col min="5074" max="5074" width="7.42578125" style="1" customWidth="1"/>
    <col min="5075" max="5075" width="8.7109375" style="1" customWidth="1"/>
    <col min="5076" max="5076" width="11.5703125" style="1" customWidth="1"/>
    <col min="5077" max="5315" width="9.140625" style="1"/>
    <col min="5316" max="5316" width="31.28515625" style="1" customWidth="1"/>
    <col min="5317" max="5317" width="9.85546875" style="1" customWidth="1"/>
    <col min="5318" max="5319" width="9.28515625" style="1" customWidth="1"/>
    <col min="5320" max="5322" width="9.140625" style="1"/>
    <col min="5323" max="5324" width="8.28515625" style="1" customWidth="1"/>
    <col min="5325" max="5325" width="9.140625" style="1" customWidth="1"/>
    <col min="5326" max="5327" width="9.140625" style="1"/>
    <col min="5328" max="5328" width="8.28515625" style="1" customWidth="1"/>
    <col min="5329" max="5329" width="9.140625" style="1"/>
    <col min="5330" max="5330" width="7.42578125" style="1" customWidth="1"/>
    <col min="5331" max="5331" width="8.7109375" style="1" customWidth="1"/>
    <col min="5332" max="5332" width="11.5703125" style="1" customWidth="1"/>
    <col min="5333" max="5571" width="9.140625" style="1"/>
    <col min="5572" max="5572" width="31.28515625" style="1" customWidth="1"/>
    <col min="5573" max="5573" width="9.85546875" style="1" customWidth="1"/>
    <col min="5574" max="5575" width="9.28515625" style="1" customWidth="1"/>
    <col min="5576" max="5578" width="9.140625" style="1"/>
    <col min="5579" max="5580" width="8.28515625" style="1" customWidth="1"/>
    <col min="5581" max="5581" width="9.140625" style="1" customWidth="1"/>
    <col min="5582" max="5583" width="9.140625" style="1"/>
    <col min="5584" max="5584" width="8.28515625" style="1" customWidth="1"/>
    <col min="5585" max="5585" width="9.140625" style="1"/>
    <col min="5586" max="5586" width="7.42578125" style="1" customWidth="1"/>
    <col min="5587" max="5587" width="8.7109375" style="1" customWidth="1"/>
    <col min="5588" max="5588" width="11.5703125" style="1" customWidth="1"/>
    <col min="5589" max="5827" width="9.140625" style="1"/>
    <col min="5828" max="5828" width="31.28515625" style="1" customWidth="1"/>
    <col min="5829" max="5829" width="9.85546875" style="1" customWidth="1"/>
    <col min="5830" max="5831" width="9.28515625" style="1" customWidth="1"/>
    <col min="5832" max="5834" width="9.140625" style="1"/>
    <col min="5835" max="5836" width="8.28515625" style="1" customWidth="1"/>
    <col min="5837" max="5837" width="9.140625" style="1" customWidth="1"/>
    <col min="5838" max="5839" width="9.140625" style="1"/>
    <col min="5840" max="5840" width="8.28515625" style="1" customWidth="1"/>
    <col min="5841" max="5841" width="9.140625" style="1"/>
    <col min="5842" max="5842" width="7.42578125" style="1" customWidth="1"/>
    <col min="5843" max="5843" width="8.7109375" style="1" customWidth="1"/>
    <col min="5844" max="5844" width="11.5703125" style="1" customWidth="1"/>
    <col min="5845" max="6083" width="9.140625" style="1"/>
    <col min="6084" max="6084" width="31.28515625" style="1" customWidth="1"/>
    <col min="6085" max="6085" width="9.85546875" style="1" customWidth="1"/>
    <col min="6086" max="6087" width="9.28515625" style="1" customWidth="1"/>
    <col min="6088" max="6090" width="9.140625" style="1"/>
    <col min="6091" max="6092" width="8.28515625" style="1" customWidth="1"/>
    <col min="6093" max="6093" width="9.140625" style="1" customWidth="1"/>
    <col min="6094" max="6095" width="9.140625" style="1"/>
    <col min="6096" max="6096" width="8.28515625" style="1" customWidth="1"/>
    <col min="6097" max="6097" width="9.140625" style="1"/>
    <col min="6098" max="6098" width="7.42578125" style="1" customWidth="1"/>
    <col min="6099" max="6099" width="8.7109375" style="1" customWidth="1"/>
    <col min="6100" max="6100" width="11.5703125" style="1" customWidth="1"/>
    <col min="6101" max="6339" width="9.140625" style="1"/>
    <col min="6340" max="6340" width="31.28515625" style="1" customWidth="1"/>
    <col min="6341" max="6341" width="9.85546875" style="1" customWidth="1"/>
    <col min="6342" max="6343" width="9.28515625" style="1" customWidth="1"/>
    <col min="6344" max="6346" width="9.140625" style="1"/>
    <col min="6347" max="6348" width="8.28515625" style="1" customWidth="1"/>
    <col min="6349" max="6349" width="9.140625" style="1" customWidth="1"/>
    <col min="6350" max="6351" width="9.140625" style="1"/>
    <col min="6352" max="6352" width="8.28515625" style="1" customWidth="1"/>
    <col min="6353" max="6353" width="9.140625" style="1"/>
    <col min="6354" max="6354" width="7.42578125" style="1" customWidth="1"/>
    <col min="6355" max="6355" width="8.7109375" style="1" customWidth="1"/>
    <col min="6356" max="6356" width="11.5703125" style="1" customWidth="1"/>
    <col min="6357" max="6595" width="9.140625" style="1"/>
    <col min="6596" max="6596" width="31.28515625" style="1" customWidth="1"/>
    <col min="6597" max="6597" width="9.85546875" style="1" customWidth="1"/>
    <col min="6598" max="6599" width="9.28515625" style="1" customWidth="1"/>
    <col min="6600" max="6602" width="9.140625" style="1"/>
    <col min="6603" max="6604" width="8.28515625" style="1" customWidth="1"/>
    <col min="6605" max="6605" width="9.140625" style="1" customWidth="1"/>
    <col min="6606" max="6607" width="9.140625" style="1"/>
    <col min="6608" max="6608" width="8.28515625" style="1" customWidth="1"/>
    <col min="6609" max="6609" width="9.140625" style="1"/>
    <col min="6610" max="6610" width="7.42578125" style="1" customWidth="1"/>
    <col min="6611" max="6611" width="8.7109375" style="1" customWidth="1"/>
    <col min="6612" max="6612" width="11.5703125" style="1" customWidth="1"/>
    <col min="6613" max="6851" width="9.140625" style="1"/>
    <col min="6852" max="6852" width="31.28515625" style="1" customWidth="1"/>
    <col min="6853" max="6853" width="9.85546875" style="1" customWidth="1"/>
    <col min="6854" max="6855" width="9.28515625" style="1" customWidth="1"/>
    <col min="6856" max="6858" width="9.140625" style="1"/>
    <col min="6859" max="6860" width="8.28515625" style="1" customWidth="1"/>
    <col min="6861" max="6861" width="9.140625" style="1" customWidth="1"/>
    <col min="6862" max="6863" width="9.140625" style="1"/>
    <col min="6864" max="6864" width="8.28515625" style="1" customWidth="1"/>
    <col min="6865" max="6865" width="9.140625" style="1"/>
    <col min="6866" max="6866" width="7.42578125" style="1" customWidth="1"/>
    <col min="6867" max="6867" width="8.7109375" style="1" customWidth="1"/>
    <col min="6868" max="6868" width="11.5703125" style="1" customWidth="1"/>
    <col min="6869" max="7107" width="9.140625" style="1"/>
    <col min="7108" max="7108" width="31.28515625" style="1" customWidth="1"/>
    <col min="7109" max="7109" width="9.85546875" style="1" customWidth="1"/>
    <col min="7110" max="7111" width="9.28515625" style="1" customWidth="1"/>
    <col min="7112" max="7114" width="9.140625" style="1"/>
    <col min="7115" max="7116" width="8.28515625" style="1" customWidth="1"/>
    <col min="7117" max="7117" width="9.140625" style="1" customWidth="1"/>
    <col min="7118" max="7119" width="9.140625" style="1"/>
    <col min="7120" max="7120" width="8.28515625" style="1" customWidth="1"/>
    <col min="7121" max="7121" width="9.140625" style="1"/>
    <col min="7122" max="7122" width="7.42578125" style="1" customWidth="1"/>
    <col min="7123" max="7123" width="8.7109375" style="1" customWidth="1"/>
    <col min="7124" max="7124" width="11.5703125" style="1" customWidth="1"/>
    <col min="7125" max="7363" width="9.140625" style="1"/>
    <col min="7364" max="7364" width="31.28515625" style="1" customWidth="1"/>
    <col min="7365" max="7365" width="9.85546875" style="1" customWidth="1"/>
    <col min="7366" max="7367" width="9.28515625" style="1" customWidth="1"/>
    <col min="7368" max="7370" width="9.140625" style="1"/>
    <col min="7371" max="7372" width="8.28515625" style="1" customWidth="1"/>
    <col min="7373" max="7373" width="9.140625" style="1" customWidth="1"/>
    <col min="7374" max="7375" width="9.140625" style="1"/>
    <col min="7376" max="7376" width="8.28515625" style="1" customWidth="1"/>
    <col min="7377" max="7377" width="9.140625" style="1"/>
    <col min="7378" max="7378" width="7.42578125" style="1" customWidth="1"/>
    <col min="7379" max="7379" width="8.7109375" style="1" customWidth="1"/>
    <col min="7380" max="7380" width="11.5703125" style="1" customWidth="1"/>
    <col min="7381" max="7619" width="9.140625" style="1"/>
    <col min="7620" max="7620" width="31.28515625" style="1" customWidth="1"/>
    <col min="7621" max="7621" width="9.85546875" style="1" customWidth="1"/>
    <col min="7622" max="7623" width="9.28515625" style="1" customWidth="1"/>
    <col min="7624" max="7626" width="9.140625" style="1"/>
    <col min="7627" max="7628" width="8.28515625" style="1" customWidth="1"/>
    <col min="7629" max="7629" width="9.140625" style="1" customWidth="1"/>
    <col min="7630" max="7631" width="9.140625" style="1"/>
    <col min="7632" max="7632" width="8.28515625" style="1" customWidth="1"/>
    <col min="7633" max="7633" width="9.140625" style="1"/>
    <col min="7634" max="7634" width="7.42578125" style="1" customWidth="1"/>
    <col min="7635" max="7635" width="8.7109375" style="1" customWidth="1"/>
    <col min="7636" max="7636" width="11.5703125" style="1" customWidth="1"/>
    <col min="7637" max="7875" width="9.140625" style="1"/>
    <col min="7876" max="7876" width="31.28515625" style="1" customWidth="1"/>
    <col min="7877" max="7877" width="9.85546875" style="1" customWidth="1"/>
    <col min="7878" max="7879" width="9.28515625" style="1" customWidth="1"/>
    <col min="7880" max="7882" width="9.140625" style="1"/>
    <col min="7883" max="7884" width="8.28515625" style="1" customWidth="1"/>
    <col min="7885" max="7885" width="9.140625" style="1" customWidth="1"/>
    <col min="7886" max="7887" width="9.140625" style="1"/>
    <col min="7888" max="7888" width="8.28515625" style="1" customWidth="1"/>
    <col min="7889" max="7889" width="9.140625" style="1"/>
    <col min="7890" max="7890" width="7.42578125" style="1" customWidth="1"/>
    <col min="7891" max="7891" width="8.7109375" style="1" customWidth="1"/>
    <col min="7892" max="7892" width="11.5703125" style="1" customWidth="1"/>
    <col min="7893" max="8131" width="9.140625" style="1"/>
    <col min="8132" max="8132" width="31.28515625" style="1" customWidth="1"/>
    <col min="8133" max="8133" width="9.85546875" style="1" customWidth="1"/>
    <col min="8134" max="8135" width="9.28515625" style="1" customWidth="1"/>
    <col min="8136" max="8138" width="9.140625" style="1"/>
    <col min="8139" max="8140" width="8.28515625" style="1" customWidth="1"/>
    <col min="8141" max="8141" width="9.140625" style="1" customWidth="1"/>
    <col min="8142" max="8143" width="9.140625" style="1"/>
    <col min="8144" max="8144" width="8.28515625" style="1" customWidth="1"/>
    <col min="8145" max="8145" width="9.140625" style="1"/>
    <col min="8146" max="8146" width="7.42578125" style="1" customWidth="1"/>
    <col min="8147" max="8147" width="8.7109375" style="1" customWidth="1"/>
    <col min="8148" max="8148" width="11.5703125" style="1" customWidth="1"/>
    <col min="8149" max="8387" width="9.140625" style="1"/>
    <col min="8388" max="8388" width="31.28515625" style="1" customWidth="1"/>
    <col min="8389" max="8389" width="9.85546875" style="1" customWidth="1"/>
    <col min="8390" max="8391" width="9.28515625" style="1" customWidth="1"/>
    <col min="8392" max="8394" width="9.140625" style="1"/>
    <col min="8395" max="8396" width="8.28515625" style="1" customWidth="1"/>
    <col min="8397" max="8397" width="9.140625" style="1" customWidth="1"/>
    <col min="8398" max="8399" width="9.140625" style="1"/>
    <col min="8400" max="8400" width="8.28515625" style="1" customWidth="1"/>
    <col min="8401" max="8401" width="9.140625" style="1"/>
    <col min="8402" max="8402" width="7.42578125" style="1" customWidth="1"/>
    <col min="8403" max="8403" width="8.7109375" style="1" customWidth="1"/>
    <col min="8404" max="8404" width="11.5703125" style="1" customWidth="1"/>
    <col min="8405" max="8643" width="9.140625" style="1"/>
    <col min="8644" max="8644" width="31.28515625" style="1" customWidth="1"/>
    <col min="8645" max="8645" width="9.85546875" style="1" customWidth="1"/>
    <col min="8646" max="8647" width="9.28515625" style="1" customWidth="1"/>
    <col min="8648" max="8650" width="9.140625" style="1"/>
    <col min="8651" max="8652" width="8.28515625" style="1" customWidth="1"/>
    <col min="8653" max="8653" width="9.140625" style="1" customWidth="1"/>
    <col min="8654" max="8655" width="9.140625" style="1"/>
    <col min="8656" max="8656" width="8.28515625" style="1" customWidth="1"/>
    <col min="8657" max="8657" width="9.140625" style="1"/>
    <col min="8658" max="8658" width="7.42578125" style="1" customWidth="1"/>
    <col min="8659" max="8659" width="8.7109375" style="1" customWidth="1"/>
    <col min="8660" max="8660" width="11.5703125" style="1" customWidth="1"/>
    <col min="8661" max="8899" width="9.140625" style="1"/>
    <col min="8900" max="8900" width="31.28515625" style="1" customWidth="1"/>
    <col min="8901" max="8901" width="9.85546875" style="1" customWidth="1"/>
    <col min="8902" max="8903" width="9.28515625" style="1" customWidth="1"/>
    <col min="8904" max="8906" width="9.140625" style="1"/>
    <col min="8907" max="8908" width="8.28515625" style="1" customWidth="1"/>
    <col min="8909" max="8909" width="9.140625" style="1" customWidth="1"/>
    <col min="8910" max="8911" width="9.140625" style="1"/>
    <col min="8912" max="8912" width="8.28515625" style="1" customWidth="1"/>
    <col min="8913" max="8913" width="9.140625" style="1"/>
    <col min="8914" max="8914" width="7.42578125" style="1" customWidth="1"/>
    <col min="8915" max="8915" width="8.7109375" style="1" customWidth="1"/>
    <col min="8916" max="8916" width="11.5703125" style="1" customWidth="1"/>
    <col min="8917" max="9155" width="9.140625" style="1"/>
    <col min="9156" max="9156" width="31.28515625" style="1" customWidth="1"/>
    <col min="9157" max="9157" width="9.85546875" style="1" customWidth="1"/>
    <col min="9158" max="9159" width="9.28515625" style="1" customWidth="1"/>
    <col min="9160" max="9162" width="9.140625" style="1"/>
    <col min="9163" max="9164" width="8.28515625" style="1" customWidth="1"/>
    <col min="9165" max="9165" width="9.140625" style="1" customWidth="1"/>
    <col min="9166" max="9167" width="9.140625" style="1"/>
    <col min="9168" max="9168" width="8.28515625" style="1" customWidth="1"/>
    <col min="9169" max="9169" width="9.140625" style="1"/>
    <col min="9170" max="9170" width="7.42578125" style="1" customWidth="1"/>
    <col min="9171" max="9171" width="8.7109375" style="1" customWidth="1"/>
    <col min="9172" max="9172" width="11.5703125" style="1" customWidth="1"/>
    <col min="9173" max="9411" width="9.140625" style="1"/>
    <col min="9412" max="9412" width="31.28515625" style="1" customWidth="1"/>
    <col min="9413" max="9413" width="9.85546875" style="1" customWidth="1"/>
    <col min="9414" max="9415" width="9.28515625" style="1" customWidth="1"/>
    <col min="9416" max="9418" width="9.140625" style="1"/>
    <col min="9419" max="9420" width="8.28515625" style="1" customWidth="1"/>
    <col min="9421" max="9421" width="9.140625" style="1" customWidth="1"/>
    <col min="9422" max="9423" width="9.140625" style="1"/>
    <col min="9424" max="9424" width="8.28515625" style="1" customWidth="1"/>
    <col min="9425" max="9425" width="9.140625" style="1"/>
    <col min="9426" max="9426" width="7.42578125" style="1" customWidth="1"/>
    <col min="9427" max="9427" width="8.7109375" style="1" customWidth="1"/>
    <col min="9428" max="9428" width="11.5703125" style="1" customWidth="1"/>
    <col min="9429" max="9667" width="9.140625" style="1"/>
    <col min="9668" max="9668" width="31.28515625" style="1" customWidth="1"/>
    <col min="9669" max="9669" width="9.85546875" style="1" customWidth="1"/>
    <col min="9670" max="9671" width="9.28515625" style="1" customWidth="1"/>
    <col min="9672" max="9674" width="9.140625" style="1"/>
    <col min="9675" max="9676" width="8.28515625" style="1" customWidth="1"/>
    <col min="9677" max="9677" width="9.140625" style="1" customWidth="1"/>
    <col min="9678" max="9679" width="9.140625" style="1"/>
    <col min="9680" max="9680" width="8.28515625" style="1" customWidth="1"/>
    <col min="9681" max="9681" width="9.140625" style="1"/>
    <col min="9682" max="9682" width="7.42578125" style="1" customWidth="1"/>
    <col min="9683" max="9683" width="8.7109375" style="1" customWidth="1"/>
    <col min="9684" max="9684" width="11.5703125" style="1" customWidth="1"/>
    <col min="9685" max="9923" width="9.140625" style="1"/>
    <col min="9924" max="9924" width="31.28515625" style="1" customWidth="1"/>
    <col min="9925" max="9925" width="9.85546875" style="1" customWidth="1"/>
    <col min="9926" max="9927" width="9.28515625" style="1" customWidth="1"/>
    <col min="9928" max="9930" width="9.140625" style="1"/>
    <col min="9931" max="9932" width="8.28515625" style="1" customWidth="1"/>
    <col min="9933" max="9933" width="9.140625" style="1" customWidth="1"/>
    <col min="9934" max="9935" width="9.140625" style="1"/>
    <col min="9936" max="9936" width="8.28515625" style="1" customWidth="1"/>
    <col min="9937" max="9937" width="9.140625" style="1"/>
    <col min="9938" max="9938" width="7.42578125" style="1" customWidth="1"/>
    <col min="9939" max="9939" width="8.7109375" style="1" customWidth="1"/>
    <col min="9940" max="9940" width="11.5703125" style="1" customWidth="1"/>
    <col min="9941" max="10179" width="9.140625" style="1"/>
    <col min="10180" max="10180" width="31.28515625" style="1" customWidth="1"/>
    <col min="10181" max="10181" width="9.85546875" style="1" customWidth="1"/>
    <col min="10182" max="10183" width="9.28515625" style="1" customWidth="1"/>
    <col min="10184" max="10186" width="9.140625" style="1"/>
    <col min="10187" max="10188" width="8.28515625" style="1" customWidth="1"/>
    <col min="10189" max="10189" width="9.140625" style="1" customWidth="1"/>
    <col min="10190" max="10191" width="9.140625" style="1"/>
    <col min="10192" max="10192" width="8.28515625" style="1" customWidth="1"/>
    <col min="10193" max="10193" width="9.140625" style="1"/>
    <col min="10194" max="10194" width="7.42578125" style="1" customWidth="1"/>
    <col min="10195" max="10195" width="8.7109375" style="1" customWidth="1"/>
    <col min="10196" max="10196" width="11.5703125" style="1" customWidth="1"/>
    <col min="10197" max="10435" width="9.140625" style="1"/>
    <col min="10436" max="10436" width="31.28515625" style="1" customWidth="1"/>
    <col min="10437" max="10437" width="9.85546875" style="1" customWidth="1"/>
    <col min="10438" max="10439" width="9.28515625" style="1" customWidth="1"/>
    <col min="10440" max="10442" width="9.140625" style="1"/>
    <col min="10443" max="10444" width="8.28515625" style="1" customWidth="1"/>
    <col min="10445" max="10445" width="9.140625" style="1" customWidth="1"/>
    <col min="10446" max="10447" width="9.140625" style="1"/>
    <col min="10448" max="10448" width="8.28515625" style="1" customWidth="1"/>
    <col min="10449" max="10449" width="9.140625" style="1"/>
    <col min="10450" max="10450" width="7.42578125" style="1" customWidth="1"/>
    <col min="10451" max="10451" width="8.7109375" style="1" customWidth="1"/>
    <col min="10452" max="10452" width="11.5703125" style="1" customWidth="1"/>
    <col min="10453" max="10691" width="9.140625" style="1"/>
    <col min="10692" max="10692" width="31.28515625" style="1" customWidth="1"/>
    <col min="10693" max="10693" width="9.85546875" style="1" customWidth="1"/>
    <col min="10694" max="10695" width="9.28515625" style="1" customWidth="1"/>
    <col min="10696" max="10698" width="9.140625" style="1"/>
    <col min="10699" max="10700" width="8.28515625" style="1" customWidth="1"/>
    <col min="10701" max="10701" width="9.140625" style="1" customWidth="1"/>
    <col min="10702" max="10703" width="9.140625" style="1"/>
    <col min="10704" max="10704" width="8.28515625" style="1" customWidth="1"/>
    <col min="10705" max="10705" width="9.140625" style="1"/>
    <col min="10706" max="10706" width="7.42578125" style="1" customWidth="1"/>
    <col min="10707" max="10707" width="8.7109375" style="1" customWidth="1"/>
    <col min="10708" max="10708" width="11.5703125" style="1" customWidth="1"/>
    <col min="10709" max="10947" width="9.140625" style="1"/>
    <col min="10948" max="10948" width="31.28515625" style="1" customWidth="1"/>
    <col min="10949" max="10949" width="9.85546875" style="1" customWidth="1"/>
    <col min="10950" max="10951" width="9.28515625" style="1" customWidth="1"/>
    <col min="10952" max="10954" width="9.140625" style="1"/>
    <col min="10955" max="10956" width="8.28515625" style="1" customWidth="1"/>
    <col min="10957" max="10957" width="9.140625" style="1" customWidth="1"/>
    <col min="10958" max="10959" width="9.140625" style="1"/>
    <col min="10960" max="10960" width="8.28515625" style="1" customWidth="1"/>
    <col min="10961" max="10961" width="9.140625" style="1"/>
    <col min="10962" max="10962" width="7.42578125" style="1" customWidth="1"/>
    <col min="10963" max="10963" width="8.7109375" style="1" customWidth="1"/>
    <col min="10964" max="10964" width="11.5703125" style="1" customWidth="1"/>
    <col min="10965" max="11203" width="9.140625" style="1"/>
    <col min="11204" max="11204" width="31.28515625" style="1" customWidth="1"/>
    <col min="11205" max="11205" width="9.85546875" style="1" customWidth="1"/>
    <col min="11206" max="11207" width="9.28515625" style="1" customWidth="1"/>
    <col min="11208" max="11210" width="9.140625" style="1"/>
    <col min="11211" max="11212" width="8.28515625" style="1" customWidth="1"/>
    <col min="11213" max="11213" width="9.140625" style="1" customWidth="1"/>
    <col min="11214" max="11215" width="9.140625" style="1"/>
    <col min="11216" max="11216" width="8.28515625" style="1" customWidth="1"/>
    <col min="11217" max="11217" width="9.140625" style="1"/>
    <col min="11218" max="11218" width="7.42578125" style="1" customWidth="1"/>
    <col min="11219" max="11219" width="8.7109375" style="1" customWidth="1"/>
    <col min="11220" max="11220" width="11.5703125" style="1" customWidth="1"/>
    <col min="11221" max="11459" width="9.140625" style="1"/>
    <col min="11460" max="11460" width="31.28515625" style="1" customWidth="1"/>
    <col min="11461" max="11461" width="9.85546875" style="1" customWidth="1"/>
    <col min="11462" max="11463" width="9.28515625" style="1" customWidth="1"/>
    <col min="11464" max="11466" width="9.140625" style="1"/>
    <col min="11467" max="11468" width="8.28515625" style="1" customWidth="1"/>
    <col min="11469" max="11469" width="9.140625" style="1" customWidth="1"/>
    <col min="11470" max="11471" width="9.140625" style="1"/>
    <col min="11472" max="11472" width="8.28515625" style="1" customWidth="1"/>
    <col min="11473" max="11473" width="9.140625" style="1"/>
    <col min="11474" max="11474" width="7.42578125" style="1" customWidth="1"/>
    <col min="11475" max="11475" width="8.7109375" style="1" customWidth="1"/>
    <col min="11476" max="11476" width="11.5703125" style="1" customWidth="1"/>
    <col min="11477" max="11715" width="9.140625" style="1"/>
    <col min="11716" max="11716" width="31.28515625" style="1" customWidth="1"/>
    <col min="11717" max="11717" width="9.85546875" style="1" customWidth="1"/>
    <col min="11718" max="11719" width="9.28515625" style="1" customWidth="1"/>
    <col min="11720" max="11722" width="9.140625" style="1"/>
    <col min="11723" max="11724" width="8.28515625" style="1" customWidth="1"/>
    <col min="11725" max="11725" width="9.140625" style="1" customWidth="1"/>
    <col min="11726" max="11727" width="9.140625" style="1"/>
    <col min="11728" max="11728" width="8.28515625" style="1" customWidth="1"/>
    <col min="11729" max="11729" width="9.140625" style="1"/>
    <col min="11730" max="11730" width="7.42578125" style="1" customWidth="1"/>
    <col min="11731" max="11731" width="8.7109375" style="1" customWidth="1"/>
    <col min="11732" max="11732" width="11.5703125" style="1" customWidth="1"/>
    <col min="11733" max="11971" width="9.140625" style="1"/>
    <col min="11972" max="11972" width="31.28515625" style="1" customWidth="1"/>
    <col min="11973" max="11973" width="9.85546875" style="1" customWidth="1"/>
    <col min="11974" max="11975" width="9.28515625" style="1" customWidth="1"/>
    <col min="11976" max="11978" width="9.140625" style="1"/>
    <col min="11979" max="11980" width="8.28515625" style="1" customWidth="1"/>
    <col min="11981" max="11981" width="9.140625" style="1" customWidth="1"/>
    <col min="11982" max="11983" width="9.140625" style="1"/>
    <col min="11984" max="11984" width="8.28515625" style="1" customWidth="1"/>
    <col min="11985" max="11985" width="9.140625" style="1"/>
    <col min="11986" max="11986" width="7.42578125" style="1" customWidth="1"/>
    <col min="11987" max="11987" width="8.7109375" style="1" customWidth="1"/>
    <col min="11988" max="11988" width="11.5703125" style="1" customWidth="1"/>
    <col min="11989" max="12227" width="9.140625" style="1"/>
    <col min="12228" max="12228" width="31.28515625" style="1" customWidth="1"/>
    <col min="12229" max="12229" width="9.85546875" style="1" customWidth="1"/>
    <col min="12230" max="12231" width="9.28515625" style="1" customWidth="1"/>
    <col min="12232" max="12234" width="9.140625" style="1"/>
    <col min="12235" max="12236" width="8.28515625" style="1" customWidth="1"/>
    <col min="12237" max="12237" width="9.140625" style="1" customWidth="1"/>
    <col min="12238" max="12239" width="9.140625" style="1"/>
    <col min="12240" max="12240" width="8.28515625" style="1" customWidth="1"/>
    <col min="12241" max="12241" width="9.140625" style="1"/>
    <col min="12242" max="12242" width="7.42578125" style="1" customWidth="1"/>
    <col min="12243" max="12243" width="8.7109375" style="1" customWidth="1"/>
    <col min="12244" max="12244" width="11.5703125" style="1" customWidth="1"/>
    <col min="12245" max="12483" width="9.140625" style="1"/>
    <col min="12484" max="12484" width="31.28515625" style="1" customWidth="1"/>
    <col min="12485" max="12485" width="9.85546875" style="1" customWidth="1"/>
    <col min="12486" max="12487" width="9.28515625" style="1" customWidth="1"/>
    <col min="12488" max="12490" width="9.140625" style="1"/>
    <col min="12491" max="12492" width="8.28515625" style="1" customWidth="1"/>
    <col min="12493" max="12493" width="9.140625" style="1" customWidth="1"/>
    <col min="12494" max="12495" width="9.140625" style="1"/>
    <col min="12496" max="12496" width="8.28515625" style="1" customWidth="1"/>
    <col min="12497" max="12497" width="9.140625" style="1"/>
    <col min="12498" max="12498" width="7.42578125" style="1" customWidth="1"/>
    <col min="12499" max="12499" width="8.7109375" style="1" customWidth="1"/>
    <col min="12500" max="12500" width="11.5703125" style="1" customWidth="1"/>
    <col min="12501" max="12739" width="9.140625" style="1"/>
    <col min="12740" max="12740" width="31.28515625" style="1" customWidth="1"/>
    <col min="12741" max="12741" width="9.85546875" style="1" customWidth="1"/>
    <col min="12742" max="12743" width="9.28515625" style="1" customWidth="1"/>
    <col min="12744" max="12746" width="9.140625" style="1"/>
    <col min="12747" max="12748" width="8.28515625" style="1" customWidth="1"/>
    <col min="12749" max="12749" width="9.140625" style="1" customWidth="1"/>
    <col min="12750" max="12751" width="9.140625" style="1"/>
    <col min="12752" max="12752" width="8.28515625" style="1" customWidth="1"/>
    <col min="12753" max="12753" width="9.140625" style="1"/>
    <col min="12754" max="12754" width="7.42578125" style="1" customWidth="1"/>
    <col min="12755" max="12755" width="8.7109375" style="1" customWidth="1"/>
    <col min="12756" max="12756" width="11.5703125" style="1" customWidth="1"/>
    <col min="12757" max="12995" width="9.140625" style="1"/>
    <col min="12996" max="12996" width="31.28515625" style="1" customWidth="1"/>
    <col min="12997" max="12997" width="9.85546875" style="1" customWidth="1"/>
    <col min="12998" max="12999" width="9.28515625" style="1" customWidth="1"/>
    <col min="13000" max="13002" width="9.140625" style="1"/>
    <col min="13003" max="13004" width="8.28515625" style="1" customWidth="1"/>
    <col min="13005" max="13005" width="9.140625" style="1" customWidth="1"/>
    <col min="13006" max="13007" width="9.140625" style="1"/>
    <col min="13008" max="13008" width="8.28515625" style="1" customWidth="1"/>
    <col min="13009" max="13009" width="9.140625" style="1"/>
    <col min="13010" max="13010" width="7.42578125" style="1" customWidth="1"/>
    <col min="13011" max="13011" width="8.7109375" style="1" customWidth="1"/>
    <col min="13012" max="13012" width="11.5703125" style="1" customWidth="1"/>
    <col min="13013" max="13251" width="9.140625" style="1"/>
    <col min="13252" max="13252" width="31.28515625" style="1" customWidth="1"/>
    <col min="13253" max="13253" width="9.85546875" style="1" customWidth="1"/>
    <col min="13254" max="13255" width="9.28515625" style="1" customWidth="1"/>
    <col min="13256" max="13258" width="9.140625" style="1"/>
    <col min="13259" max="13260" width="8.28515625" style="1" customWidth="1"/>
    <col min="13261" max="13261" width="9.140625" style="1" customWidth="1"/>
    <col min="13262" max="13263" width="9.140625" style="1"/>
    <col min="13264" max="13264" width="8.28515625" style="1" customWidth="1"/>
    <col min="13265" max="13265" width="9.140625" style="1"/>
    <col min="13266" max="13266" width="7.42578125" style="1" customWidth="1"/>
    <col min="13267" max="13267" width="8.7109375" style="1" customWidth="1"/>
    <col min="13268" max="13268" width="11.5703125" style="1" customWidth="1"/>
    <col min="13269" max="13507" width="9.140625" style="1"/>
    <col min="13508" max="13508" width="31.28515625" style="1" customWidth="1"/>
    <col min="13509" max="13509" width="9.85546875" style="1" customWidth="1"/>
    <col min="13510" max="13511" width="9.28515625" style="1" customWidth="1"/>
    <col min="13512" max="13514" width="9.140625" style="1"/>
    <col min="13515" max="13516" width="8.28515625" style="1" customWidth="1"/>
    <col min="13517" max="13517" width="9.140625" style="1" customWidth="1"/>
    <col min="13518" max="13519" width="9.140625" style="1"/>
    <col min="13520" max="13520" width="8.28515625" style="1" customWidth="1"/>
    <col min="13521" max="13521" width="9.140625" style="1"/>
    <col min="13522" max="13522" width="7.42578125" style="1" customWidth="1"/>
    <col min="13523" max="13523" width="8.7109375" style="1" customWidth="1"/>
    <col min="13524" max="13524" width="11.5703125" style="1" customWidth="1"/>
    <col min="13525" max="13763" width="9.140625" style="1"/>
    <col min="13764" max="13764" width="31.28515625" style="1" customWidth="1"/>
    <col min="13765" max="13765" width="9.85546875" style="1" customWidth="1"/>
    <col min="13766" max="13767" width="9.28515625" style="1" customWidth="1"/>
    <col min="13768" max="13770" width="9.140625" style="1"/>
    <col min="13771" max="13772" width="8.28515625" style="1" customWidth="1"/>
    <col min="13773" max="13773" width="9.140625" style="1" customWidth="1"/>
    <col min="13774" max="13775" width="9.140625" style="1"/>
    <col min="13776" max="13776" width="8.28515625" style="1" customWidth="1"/>
    <col min="13777" max="13777" width="9.140625" style="1"/>
    <col min="13778" max="13778" width="7.42578125" style="1" customWidth="1"/>
    <col min="13779" max="13779" width="8.7109375" style="1" customWidth="1"/>
    <col min="13780" max="13780" width="11.5703125" style="1" customWidth="1"/>
    <col min="13781" max="14019" width="9.140625" style="1"/>
    <col min="14020" max="14020" width="31.28515625" style="1" customWidth="1"/>
    <col min="14021" max="14021" width="9.85546875" style="1" customWidth="1"/>
    <col min="14022" max="14023" width="9.28515625" style="1" customWidth="1"/>
    <col min="14024" max="14026" width="9.140625" style="1"/>
    <col min="14027" max="14028" width="8.28515625" style="1" customWidth="1"/>
    <col min="14029" max="14029" width="9.140625" style="1" customWidth="1"/>
    <col min="14030" max="14031" width="9.140625" style="1"/>
    <col min="14032" max="14032" width="8.28515625" style="1" customWidth="1"/>
    <col min="14033" max="14033" width="9.140625" style="1"/>
    <col min="14034" max="14034" width="7.42578125" style="1" customWidth="1"/>
    <col min="14035" max="14035" width="8.7109375" style="1" customWidth="1"/>
    <col min="14036" max="14036" width="11.5703125" style="1" customWidth="1"/>
    <col min="14037" max="14275" width="9.140625" style="1"/>
    <col min="14276" max="14276" width="31.28515625" style="1" customWidth="1"/>
    <col min="14277" max="14277" width="9.85546875" style="1" customWidth="1"/>
    <col min="14278" max="14279" width="9.28515625" style="1" customWidth="1"/>
    <col min="14280" max="14282" width="9.140625" style="1"/>
    <col min="14283" max="14284" width="8.28515625" style="1" customWidth="1"/>
    <col min="14285" max="14285" width="9.140625" style="1" customWidth="1"/>
    <col min="14286" max="14287" width="9.140625" style="1"/>
    <col min="14288" max="14288" width="8.28515625" style="1" customWidth="1"/>
    <col min="14289" max="14289" width="9.140625" style="1"/>
    <col min="14290" max="14290" width="7.42578125" style="1" customWidth="1"/>
    <col min="14291" max="14291" width="8.7109375" style="1" customWidth="1"/>
    <col min="14292" max="14292" width="11.5703125" style="1" customWidth="1"/>
    <col min="14293" max="14531" width="9.140625" style="1"/>
    <col min="14532" max="14532" width="31.28515625" style="1" customWidth="1"/>
    <col min="14533" max="14533" width="9.85546875" style="1" customWidth="1"/>
    <col min="14534" max="14535" width="9.28515625" style="1" customWidth="1"/>
    <col min="14536" max="14538" width="9.140625" style="1"/>
    <col min="14539" max="14540" width="8.28515625" style="1" customWidth="1"/>
    <col min="14541" max="14541" width="9.140625" style="1" customWidth="1"/>
    <col min="14542" max="14543" width="9.140625" style="1"/>
    <col min="14544" max="14544" width="8.28515625" style="1" customWidth="1"/>
    <col min="14545" max="14545" width="9.140625" style="1"/>
    <col min="14546" max="14546" width="7.42578125" style="1" customWidth="1"/>
    <col min="14547" max="14547" width="8.7109375" style="1" customWidth="1"/>
    <col min="14548" max="14548" width="11.5703125" style="1" customWidth="1"/>
    <col min="14549" max="14787" width="9.140625" style="1"/>
    <col min="14788" max="14788" width="31.28515625" style="1" customWidth="1"/>
    <col min="14789" max="14789" width="9.85546875" style="1" customWidth="1"/>
    <col min="14790" max="14791" width="9.28515625" style="1" customWidth="1"/>
    <col min="14792" max="14794" width="9.140625" style="1"/>
    <col min="14795" max="14796" width="8.28515625" style="1" customWidth="1"/>
    <col min="14797" max="14797" width="9.140625" style="1" customWidth="1"/>
    <col min="14798" max="14799" width="9.140625" style="1"/>
    <col min="14800" max="14800" width="8.28515625" style="1" customWidth="1"/>
    <col min="14801" max="14801" width="9.140625" style="1"/>
    <col min="14802" max="14802" width="7.42578125" style="1" customWidth="1"/>
    <col min="14803" max="14803" width="8.7109375" style="1" customWidth="1"/>
    <col min="14804" max="14804" width="11.5703125" style="1" customWidth="1"/>
    <col min="14805" max="15043" width="9.140625" style="1"/>
    <col min="15044" max="15044" width="31.28515625" style="1" customWidth="1"/>
    <col min="15045" max="15045" width="9.85546875" style="1" customWidth="1"/>
    <col min="15046" max="15047" width="9.28515625" style="1" customWidth="1"/>
    <col min="15048" max="15050" width="9.140625" style="1"/>
    <col min="15051" max="15052" width="8.28515625" style="1" customWidth="1"/>
    <col min="15053" max="15053" width="9.140625" style="1" customWidth="1"/>
    <col min="15054" max="15055" width="9.140625" style="1"/>
    <col min="15056" max="15056" width="8.28515625" style="1" customWidth="1"/>
    <col min="15057" max="15057" width="9.140625" style="1"/>
    <col min="15058" max="15058" width="7.42578125" style="1" customWidth="1"/>
    <col min="15059" max="15059" width="8.7109375" style="1" customWidth="1"/>
    <col min="15060" max="15060" width="11.5703125" style="1" customWidth="1"/>
    <col min="15061" max="15299" width="9.140625" style="1"/>
    <col min="15300" max="15300" width="31.28515625" style="1" customWidth="1"/>
    <col min="15301" max="15301" width="9.85546875" style="1" customWidth="1"/>
    <col min="15302" max="15303" width="9.28515625" style="1" customWidth="1"/>
    <col min="15304" max="15306" width="9.140625" style="1"/>
    <col min="15307" max="15308" width="8.28515625" style="1" customWidth="1"/>
    <col min="15309" max="15309" width="9.140625" style="1" customWidth="1"/>
    <col min="15310" max="15311" width="9.140625" style="1"/>
    <col min="15312" max="15312" width="8.28515625" style="1" customWidth="1"/>
    <col min="15313" max="15313" width="9.140625" style="1"/>
    <col min="15314" max="15314" width="7.42578125" style="1" customWidth="1"/>
    <col min="15315" max="15315" width="8.7109375" style="1" customWidth="1"/>
    <col min="15316" max="15316" width="11.5703125" style="1" customWidth="1"/>
    <col min="15317" max="15555" width="9.140625" style="1"/>
    <col min="15556" max="15556" width="31.28515625" style="1" customWidth="1"/>
    <col min="15557" max="15557" width="9.85546875" style="1" customWidth="1"/>
    <col min="15558" max="15559" width="9.28515625" style="1" customWidth="1"/>
    <col min="15560" max="15562" width="9.140625" style="1"/>
    <col min="15563" max="15564" width="8.28515625" style="1" customWidth="1"/>
    <col min="15565" max="15565" width="9.140625" style="1" customWidth="1"/>
    <col min="15566" max="15567" width="9.140625" style="1"/>
    <col min="15568" max="15568" width="8.28515625" style="1" customWidth="1"/>
    <col min="15569" max="15569" width="9.140625" style="1"/>
    <col min="15570" max="15570" width="7.42578125" style="1" customWidth="1"/>
    <col min="15571" max="15571" width="8.7109375" style="1" customWidth="1"/>
    <col min="15572" max="15572" width="11.5703125" style="1" customWidth="1"/>
    <col min="15573" max="15811" width="9.140625" style="1"/>
    <col min="15812" max="15812" width="31.28515625" style="1" customWidth="1"/>
    <col min="15813" max="15813" width="9.85546875" style="1" customWidth="1"/>
    <col min="15814" max="15815" width="9.28515625" style="1" customWidth="1"/>
    <col min="15816" max="15818" width="9.140625" style="1"/>
    <col min="15819" max="15820" width="8.28515625" style="1" customWidth="1"/>
    <col min="15821" max="15821" width="9.140625" style="1" customWidth="1"/>
    <col min="15822" max="15823" width="9.140625" style="1"/>
    <col min="15824" max="15824" width="8.28515625" style="1" customWidth="1"/>
    <col min="15825" max="15825" width="9.140625" style="1"/>
    <col min="15826" max="15826" width="7.42578125" style="1" customWidth="1"/>
    <col min="15827" max="15827" width="8.7109375" style="1" customWidth="1"/>
    <col min="15828" max="15828" width="11.5703125" style="1" customWidth="1"/>
    <col min="15829" max="16384" width="9.140625" style="1"/>
  </cols>
  <sheetData>
    <row r="1" spans="1:14" ht="20.25" customHeight="1">
      <c r="A1" s="475" t="s">
        <v>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4" ht="15" customHeight="1" thickBot="1">
      <c r="A2" s="21"/>
      <c r="B2" s="21"/>
      <c r="C2" s="21"/>
      <c r="D2" s="21"/>
      <c r="E2" s="196"/>
      <c r="F2" s="376"/>
      <c r="G2" s="22"/>
      <c r="H2" s="22"/>
      <c r="I2" s="22"/>
      <c r="J2" s="22"/>
      <c r="K2" s="22"/>
      <c r="L2" s="22"/>
      <c r="M2" s="23" t="s">
        <v>2</v>
      </c>
    </row>
    <row r="3" spans="1:14" ht="25.5" customHeight="1">
      <c r="A3" s="476" t="s">
        <v>24</v>
      </c>
      <c r="B3" s="483" t="s">
        <v>25</v>
      </c>
      <c r="C3" s="484"/>
      <c r="D3" s="484"/>
      <c r="E3" s="484"/>
      <c r="F3" s="478" t="s">
        <v>164</v>
      </c>
      <c r="G3" s="478"/>
      <c r="H3" s="478"/>
      <c r="I3" s="478"/>
      <c r="J3" s="478"/>
      <c r="K3" s="478"/>
      <c r="L3" s="478"/>
      <c r="M3" s="479"/>
    </row>
    <row r="4" spans="1:14" ht="12.75" customHeight="1">
      <c r="A4" s="477"/>
      <c r="B4" s="485" t="s">
        <v>216</v>
      </c>
      <c r="C4" s="485" t="s">
        <v>215</v>
      </c>
      <c r="D4" s="485" t="s">
        <v>21</v>
      </c>
      <c r="E4" s="471" t="s">
        <v>30</v>
      </c>
      <c r="F4" s="480" t="s">
        <v>26</v>
      </c>
      <c r="G4" s="473" t="s">
        <v>22</v>
      </c>
      <c r="H4" s="473" t="s">
        <v>27</v>
      </c>
      <c r="I4" s="481" t="s">
        <v>28</v>
      </c>
      <c r="J4" s="481" t="s">
        <v>218</v>
      </c>
      <c r="K4" s="473" t="s">
        <v>217</v>
      </c>
      <c r="L4" s="473" t="s">
        <v>63</v>
      </c>
      <c r="M4" s="474" t="s">
        <v>29</v>
      </c>
    </row>
    <row r="5" spans="1:14" ht="30" customHeight="1">
      <c r="A5" s="477"/>
      <c r="B5" s="472"/>
      <c r="C5" s="472"/>
      <c r="D5" s="472"/>
      <c r="E5" s="472"/>
      <c r="F5" s="480"/>
      <c r="G5" s="473"/>
      <c r="H5" s="473"/>
      <c r="I5" s="482"/>
      <c r="J5" s="428"/>
      <c r="K5" s="473"/>
      <c r="L5" s="473"/>
      <c r="M5" s="474"/>
    </row>
    <row r="6" spans="1:14" s="24" customFormat="1" ht="32.25" customHeight="1">
      <c r="A6" s="177" t="s">
        <v>199</v>
      </c>
      <c r="B6" s="186">
        <f t="shared" ref="B6:M6" si="0">B7+B8+B13+B14+B15+B16+B17+B18+B24+B26+B27+B28</f>
        <v>626282</v>
      </c>
      <c r="C6" s="186">
        <f t="shared" si="0"/>
        <v>636395</v>
      </c>
      <c r="D6" s="186">
        <f t="shared" si="0"/>
        <v>596873</v>
      </c>
      <c r="E6" s="186">
        <f t="shared" si="0"/>
        <v>1859550</v>
      </c>
      <c r="F6" s="377">
        <f t="shared" si="0"/>
        <v>526982</v>
      </c>
      <c r="G6" s="186">
        <f t="shared" si="0"/>
        <v>117634</v>
      </c>
      <c r="H6" s="186">
        <f t="shared" si="0"/>
        <v>656755</v>
      </c>
      <c r="I6" s="186">
        <f t="shared" si="0"/>
        <v>487404</v>
      </c>
      <c r="J6" s="186">
        <f t="shared" si="0"/>
        <v>1600</v>
      </c>
      <c r="K6" s="186">
        <f t="shared" si="0"/>
        <v>41362</v>
      </c>
      <c r="L6" s="186">
        <f t="shared" si="0"/>
        <v>27813</v>
      </c>
      <c r="M6" s="250">
        <f t="shared" si="0"/>
        <v>1859550</v>
      </c>
      <c r="N6" s="273"/>
    </row>
    <row r="7" spans="1:14" ht="20.100000000000001" customHeight="1">
      <c r="A7" s="90" t="s">
        <v>214</v>
      </c>
      <c r="B7" s="182"/>
      <c r="C7" s="191">
        <v>97744</v>
      </c>
      <c r="D7" s="182"/>
      <c r="E7" s="195">
        <f>+B7+C7+D7</f>
        <v>97744</v>
      </c>
      <c r="F7" s="236">
        <f>'[1]NKJ összesen 2017_főszámok'!$D$57</f>
        <v>70207</v>
      </c>
      <c r="G7" s="183">
        <f>'[1]NKJ összesen 2017_főszámok'!$D$60</f>
        <v>15757</v>
      </c>
      <c r="H7" s="183">
        <f>'[1]NKJ összesen 2017_főszámok'!$D$85</f>
        <v>7580</v>
      </c>
      <c r="I7" s="184">
        <f>'[1]NKJ összesen 2017_főszámok'!$D$88</f>
        <v>4200</v>
      </c>
      <c r="J7" s="184"/>
      <c r="K7" s="183">
        <f>'[1]NKJ összesen 2017_főszámok'!$D$91</f>
        <v>0</v>
      </c>
      <c r="L7" s="183"/>
      <c r="M7" s="251">
        <f>+F7+G7+H7+I7+K7+L7</f>
        <v>97744</v>
      </c>
      <c r="N7" s="273"/>
    </row>
    <row r="8" spans="1:14" s="244" customFormat="1" ht="20.100000000000001" customHeight="1">
      <c r="A8" s="239" t="s">
        <v>222</v>
      </c>
      <c r="B8" s="245">
        <f t="shared" ref="B8:M8" si="1">B9+B10+B11+B12</f>
        <v>110000</v>
      </c>
      <c r="C8" s="245">
        <f t="shared" si="1"/>
        <v>257903</v>
      </c>
      <c r="D8" s="245">
        <f t="shared" si="1"/>
        <v>26807</v>
      </c>
      <c r="E8" s="245">
        <f t="shared" si="1"/>
        <v>394710</v>
      </c>
      <c r="F8" s="378">
        <f t="shared" si="1"/>
        <v>126888</v>
      </c>
      <c r="G8" s="245">
        <f t="shared" si="1"/>
        <v>28254</v>
      </c>
      <c r="H8" s="245">
        <f t="shared" si="1"/>
        <v>229011</v>
      </c>
      <c r="I8" s="245">
        <f t="shared" si="1"/>
        <v>360</v>
      </c>
      <c r="J8" s="245">
        <f t="shared" si="1"/>
        <v>100</v>
      </c>
      <c r="K8" s="245">
        <f t="shared" si="1"/>
        <v>8827</v>
      </c>
      <c r="L8" s="245">
        <f t="shared" si="1"/>
        <v>1270</v>
      </c>
      <c r="M8" s="252">
        <f t="shared" si="1"/>
        <v>394710</v>
      </c>
      <c r="N8" s="273"/>
    </row>
    <row r="9" spans="1:14" s="185" customFormat="1" ht="20.100000000000001" customHeight="1">
      <c r="A9" s="26" t="s">
        <v>226</v>
      </c>
      <c r="B9" s="182"/>
      <c r="C9" s="191">
        <f>[1]StratKoordFőoszt!$D$5</f>
        <v>170189</v>
      </c>
      <c r="D9" s="182"/>
      <c r="E9" s="195">
        <f t="shared" ref="E9:E37" si="2">+B9+C9+D9</f>
        <v>170189</v>
      </c>
      <c r="F9" s="236">
        <f>[1]StratKoordFőoszt!$F$57</f>
        <v>62270</v>
      </c>
      <c r="G9" s="183">
        <f>[1]StratKoordFőoszt!$F$60</f>
        <v>14006</v>
      </c>
      <c r="H9" s="183">
        <f>[1]StratKoordFőoszt!$F$85</f>
        <v>86229</v>
      </c>
      <c r="I9" s="184"/>
      <c r="J9" s="184"/>
      <c r="K9" s="183">
        <f>[1]StratKoordFőoszt!$F$99</f>
        <v>6414</v>
      </c>
      <c r="L9" s="183">
        <f>[1]StratKoordFőoszt!$F$104</f>
        <v>1270</v>
      </c>
      <c r="M9" s="251">
        <f t="shared" ref="M9:M37" si="3">+F9+G9+H9+I9+K9+L9</f>
        <v>170189</v>
      </c>
      <c r="N9" s="273"/>
    </row>
    <row r="10" spans="1:14" ht="20.100000000000001" customHeight="1">
      <c r="A10" s="26" t="s">
        <v>224</v>
      </c>
      <c r="B10" s="182">
        <v>110000</v>
      </c>
      <c r="C10" s="191"/>
      <c r="D10" s="182"/>
      <c r="E10" s="195">
        <f t="shared" si="2"/>
        <v>110000</v>
      </c>
      <c r="F10" s="236">
        <f>[2]Kiadások!$F$25</f>
        <v>11098</v>
      </c>
      <c r="G10" s="183">
        <f>[2]Kiadások!$F$28</f>
        <v>2424</v>
      </c>
      <c r="H10" s="183">
        <f>[2]Kiadások!$F$53</f>
        <v>95208</v>
      </c>
      <c r="I10" s="184"/>
      <c r="J10" s="184"/>
      <c r="K10" s="183">
        <v>1270</v>
      </c>
      <c r="L10" s="183"/>
      <c r="M10" s="251">
        <f t="shared" si="3"/>
        <v>110000</v>
      </c>
      <c r="N10" s="273"/>
    </row>
    <row r="11" spans="1:14" ht="20.100000000000001" customHeight="1">
      <c r="A11" s="29" t="s">
        <v>225</v>
      </c>
      <c r="B11" s="182"/>
      <c r="C11" s="191">
        <f>91714-4000</f>
        <v>87714</v>
      </c>
      <c r="D11" s="182">
        <v>4000</v>
      </c>
      <c r="E11" s="195">
        <f t="shared" si="2"/>
        <v>91714</v>
      </c>
      <c r="F11" s="236">
        <v>38520</v>
      </c>
      <c r="G11" s="183">
        <v>8382</v>
      </c>
      <c r="H11" s="183">
        <v>43944</v>
      </c>
      <c r="I11" s="184">
        <f>[3]Kiadások!$F$56</f>
        <v>360</v>
      </c>
      <c r="J11" s="184"/>
      <c r="K11" s="183">
        <v>508</v>
      </c>
      <c r="L11" s="183"/>
      <c r="M11" s="251">
        <f t="shared" si="3"/>
        <v>91714</v>
      </c>
      <c r="N11" s="273"/>
    </row>
    <row r="12" spans="1:14" ht="20.100000000000001" customHeight="1">
      <c r="A12" s="26" t="s">
        <v>227</v>
      </c>
      <c r="B12" s="182"/>
      <c r="C12" s="191"/>
      <c r="D12" s="182">
        <v>22807</v>
      </c>
      <c r="E12" s="195">
        <f t="shared" si="2"/>
        <v>22807</v>
      </c>
      <c r="F12" s="236">
        <v>15000</v>
      </c>
      <c r="G12" s="183">
        <v>3442</v>
      </c>
      <c r="H12" s="183">
        <v>3630</v>
      </c>
      <c r="I12" s="184"/>
      <c r="J12" s="184">
        <v>100</v>
      </c>
      <c r="K12" s="183">
        <v>635</v>
      </c>
      <c r="L12" s="183"/>
      <c r="M12" s="251">
        <f>+F12+G12+H12+I12+K12+L12+J12</f>
        <v>22807</v>
      </c>
      <c r="N12" s="273"/>
    </row>
    <row r="13" spans="1:14" ht="20.100000000000001" customHeight="1">
      <c r="A13" s="267" t="s">
        <v>202</v>
      </c>
      <c r="B13" s="191">
        <v>435455</v>
      </c>
      <c r="C13" s="191"/>
      <c r="D13" s="182">
        <f>50540-6300</f>
        <v>44240</v>
      </c>
      <c r="E13" s="195">
        <f t="shared" si="2"/>
        <v>479695</v>
      </c>
      <c r="F13" s="236">
        <v>66150</v>
      </c>
      <c r="G13" s="183">
        <v>14430</v>
      </c>
      <c r="H13" s="183">
        <v>129126</v>
      </c>
      <c r="I13" s="184">
        <v>244779</v>
      </c>
      <c r="J13" s="184"/>
      <c r="K13" s="183">
        <v>25210</v>
      </c>
      <c r="L13" s="183"/>
      <c r="M13" s="251">
        <f t="shared" si="3"/>
        <v>479695</v>
      </c>
      <c r="N13" s="273"/>
    </row>
    <row r="14" spans="1:14" s="185" customFormat="1" ht="20.100000000000001" customHeight="1">
      <c r="A14" s="267" t="s">
        <v>31</v>
      </c>
      <c r="B14" s="182">
        <v>69134</v>
      </c>
      <c r="C14" s="182">
        <v>34048</v>
      </c>
      <c r="D14" s="182"/>
      <c r="E14" s="195">
        <v>103182</v>
      </c>
      <c r="F14" s="191"/>
      <c r="G14" s="182"/>
      <c r="H14" s="182">
        <v>103182</v>
      </c>
      <c r="I14" s="182"/>
      <c r="J14" s="182"/>
      <c r="K14" s="182"/>
      <c r="L14" s="182"/>
      <c r="M14" s="253">
        <v>103182</v>
      </c>
      <c r="N14" s="273"/>
    </row>
    <row r="15" spans="1:14" ht="20.100000000000001" customHeight="1">
      <c r="A15" s="90" t="s">
        <v>204</v>
      </c>
      <c r="B15" s="182"/>
      <c r="C15" s="191">
        <f>[1]EgyMinKözp!$D$4</f>
        <v>12000</v>
      </c>
      <c r="D15" s="182"/>
      <c r="E15" s="195">
        <f t="shared" si="2"/>
        <v>12000</v>
      </c>
      <c r="F15" s="236">
        <f>[1]EgyMinKözp!$F$57</f>
        <v>7370</v>
      </c>
      <c r="G15" s="183">
        <f>[1]EgyMinKözp!$F$60</f>
        <v>1614</v>
      </c>
      <c r="H15" s="183">
        <f>[1]EgyMinKözp!$F$85</f>
        <v>3016</v>
      </c>
      <c r="I15" s="184"/>
      <c r="J15" s="184"/>
      <c r="K15" s="183"/>
      <c r="L15" s="183"/>
      <c r="M15" s="251">
        <f t="shared" si="3"/>
        <v>12000</v>
      </c>
      <c r="N15" s="273"/>
    </row>
    <row r="16" spans="1:14" ht="20.100000000000001" customHeight="1">
      <c r="A16" s="267" t="s">
        <v>200</v>
      </c>
      <c r="B16" s="182"/>
      <c r="C16" s="191">
        <v>42458</v>
      </c>
      <c r="D16" s="182"/>
      <c r="E16" s="195">
        <f t="shared" si="2"/>
        <v>42458</v>
      </c>
      <c r="F16" s="236">
        <f>[1]HumánpolFőoszt!$F$57</f>
        <v>33200</v>
      </c>
      <c r="G16" s="183">
        <f>[1]HumánpolFőoszt!$F$60</f>
        <v>7304</v>
      </c>
      <c r="H16" s="183">
        <f>[1]HumánpolFőoszt!$F$85</f>
        <v>1954</v>
      </c>
      <c r="I16" s="184"/>
      <c r="J16" s="184"/>
      <c r="K16" s="183"/>
      <c r="L16" s="183"/>
      <c r="M16" s="251">
        <f t="shared" si="3"/>
        <v>42458</v>
      </c>
      <c r="N16" s="273"/>
    </row>
    <row r="17" spans="1:14" ht="20.100000000000001" customHeight="1">
      <c r="A17" s="135" t="s">
        <v>203</v>
      </c>
      <c r="B17" s="178"/>
      <c r="C17" s="178">
        <v>30975</v>
      </c>
      <c r="D17" s="179">
        <v>333128</v>
      </c>
      <c r="E17" s="195">
        <f t="shared" si="2"/>
        <v>364103</v>
      </c>
      <c r="F17" s="178">
        <f>[1]NKI!$F$57</f>
        <v>40106</v>
      </c>
      <c r="G17" s="179">
        <f>[1]NKI!$F$60</f>
        <v>9113</v>
      </c>
      <c r="H17" s="179">
        <f>[1]NKI!$F$85</f>
        <v>50641</v>
      </c>
      <c r="I17" s="179">
        <f>[1]NKI!$F$88</f>
        <v>235565</v>
      </c>
      <c r="J17" s="179">
        <f>[1]NKI!$F$91</f>
        <v>1500</v>
      </c>
      <c r="K17" s="179">
        <f>[1]NKI!$F$99</f>
        <v>1778</v>
      </c>
      <c r="L17" s="179">
        <f>[1]NKI!$F$104</f>
        <v>25400</v>
      </c>
      <c r="M17" s="251">
        <f>+F17+G17+H17+I17+K17+L17+J17</f>
        <v>364103</v>
      </c>
      <c r="N17" s="273"/>
    </row>
    <row r="18" spans="1:14" s="244" customFormat="1" ht="20.100000000000001" customHeight="1">
      <c r="A18" s="240" t="s">
        <v>253</v>
      </c>
      <c r="B18" s="241"/>
      <c r="C18" s="242">
        <f t="shared" ref="C18:H18" si="4">C19+C20+C21+C22+C23</f>
        <v>142216</v>
      </c>
      <c r="D18" s="242">
        <f t="shared" si="4"/>
        <v>7600</v>
      </c>
      <c r="E18" s="242">
        <f t="shared" si="4"/>
        <v>149816</v>
      </c>
      <c r="F18" s="242">
        <f t="shared" si="4"/>
        <v>99275</v>
      </c>
      <c r="G18" s="242">
        <f t="shared" si="4"/>
        <v>22658</v>
      </c>
      <c r="H18" s="242">
        <f t="shared" si="4"/>
        <v>25064</v>
      </c>
      <c r="I18" s="242"/>
      <c r="J18" s="242"/>
      <c r="K18" s="242">
        <f>K19+K20+K21+K22+K23</f>
        <v>2184</v>
      </c>
      <c r="L18" s="242">
        <f>L19+L20+L21+L22+L23</f>
        <v>635</v>
      </c>
      <c r="M18" s="329">
        <f>M19+M20+M21+M22+M23</f>
        <v>149816</v>
      </c>
      <c r="N18" s="273"/>
    </row>
    <row r="19" spans="1:14" ht="20.100000000000001" customHeight="1">
      <c r="A19" s="25" t="s">
        <v>230</v>
      </c>
      <c r="B19" s="179"/>
      <c r="C19" s="178">
        <f>-5500+51400</f>
        <v>45900</v>
      </c>
      <c r="D19" s="179">
        <v>5500</v>
      </c>
      <c r="E19" s="195">
        <f t="shared" si="2"/>
        <v>51400</v>
      </c>
      <c r="F19" s="178">
        <f>[4]Kiadások!$F$25</f>
        <v>33154</v>
      </c>
      <c r="G19" s="179">
        <f>[4]Kiadások!$F$28</f>
        <v>8143</v>
      </c>
      <c r="H19" s="179">
        <f>[4]Kiadások!$F$53</f>
        <v>10103</v>
      </c>
      <c r="I19" s="179"/>
      <c r="J19" s="179"/>
      <c r="K19" s="179"/>
      <c r="L19" s="179"/>
      <c r="M19" s="251">
        <f t="shared" si="3"/>
        <v>51400</v>
      </c>
      <c r="N19" s="273"/>
    </row>
    <row r="20" spans="1:14" ht="20.100000000000001" customHeight="1">
      <c r="A20" s="25" t="s">
        <v>231</v>
      </c>
      <c r="B20" s="179"/>
      <c r="C20" s="178">
        <f>17015-2100</f>
        <v>14915</v>
      </c>
      <c r="D20" s="179">
        <v>2100</v>
      </c>
      <c r="E20" s="195">
        <f t="shared" si="2"/>
        <v>17015</v>
      </c>
      <c r="F20" s="178">
        <v>8769</v>
      </c>
      <c r="G20" s="179">
        <v>2142</v>
      </c>
      <c r="H20" s="179">
        <v>5444</v>
      </c>
      <c r="I20" s="179"/>
      <c r="J20" s="179"/>
      <c r="K20" s="179">
        <v>660</v>
      </c>
      <c r="L20" s="179"/>
      <c r="M20" s="251">
        <f t="shared" si="3"/>
        <v>17015</v>
      </c>
      <c r="N20" s="273"/>
    </row>
    <row r="21" spans="1:14" ht="20.100000000000001" customHeight="1">
      <c r="A21" s="25" t="s">
        <v>232</v>
      </c>
      <c r="B21" s="179"/>
      <c r="C21" s="178">
        <v>18515</v>
      </c>
      <c r="D21" s="179"/>
      <c r="E21" s="195">
        <f t="shared" si="2"/>
        <v>18515</v>
      </c>
      <c r="F21" s="178">
        <f>[5]Kiadások!$F$25</f>
        <v>13179</v>
      </c>
      <c r="G21" s="179">
        <f>[5]Kiadások!$F$28</f>
        <v>2825</v>
      </c>
      <c r="H21" s="179">
        <f>[5]Kiadások!$F$53</f>
        <v>2511</v>
      </c>
      <c r="I21" s="179"/>
      <c r="J21" s="179"/>
      <c r="K21" s="179"/>
      <c r="L21" s="179"/>
      <c r="M21" s="251">
        <f t="shared" si="3"/>
        <v>18515</v>
      </c>
      <c r="N21" s="273"/>
    </row>
    <row r="22" spans="1:14" ht="20.100000000000001" customHeight="1">
      <c r="A22" s="25" t="s">
        <v>233</v>
      </c>
      <c r="B22" s="179"/>
      <c r="C22" s="178">
        <v>46353</v>
      </c>
      <c r="D22" s="179"/>
      <c r="E22" s="195">
        <f t="shared" si="2"/>
        <v>46353</v>
      </c>
      <c r="F22" s="178">
        <f>[6]Kiadások!$F$25</f>
        <v>31315</v>
      </c>
      <c r="G22" s="179">
        <f>[6]Kiadások!$F$28</f>
        <v>6719</v>
      </c>
      <c r="H22" s="179">
        <f>[6]Kiadások!$F$53</f>
        <v>6160</v>
      </c>
      <c r="I22" s="179"/>
      <c r="J22" s="179"/>
      <c r="K22" s="179">
        <f>[6]Kiadások!$F$67</f>
        <v>1524</v>
      </c>
      <c r="L22" s="179">
        <f>[6]Kiadások!$F$72</f>
        <v>635</v>
      </c>
      <c r="M22" s="251">
        <f t="shared" si="3"/>
        <v>46353</v>
      </c>
      <c r="N22" s="273"/>
    </row>
    <row r="23" spans="1:14" ht="20.100000000000001" customHeight="1">
      <c r="A23" s="25" t="s">
        <v>234</v>
      </c>
      <c r="B23" s="179"/>
      <c r="C23" s="178">
        <v>16533</v>
      </c>
      <c r="D23" s="179"/>
      <c r="E23" s="195">
        <f t="shared" si="2"/>
        <v>16533</v>
      </c>
      <c r="F23" s="178">
        <v>12858</v>
      </c>
      <c r="G23" s="179">
        <v>2829</v>
      </c>
      <c r="H23" s="179">
        <v>846</v>
      </c>
      <c r="I23" s="179"/>
      <c r="J23" s="179"/>
      <c r="K23" s="179"/>
      <c r="L23" s="179"/>
      <c r="M23" s="251">
        <f t="shared" si="3"/>
        <v>16533</v>
      </c>
      <c r="N23" s="273"/>
    </row>
    <row r="24" spans="1:14" s="246" customFormat="1" ht="20.100000000000001" customHeight="1">
      <c r="A24" s="239" t="s">
        <v>254</v>
      </c>
      <c r="B24" s="241"/>
      <c r="C24" s="242"/>
      <c r="D24" s="179">
        <v>50500</v>
      </c>
      <c r="E24" s="195">
        <f t="shared" ref="E24" si="5">+B24+C24+D24</f>
        <v>50500</v>
      </c>
      <c r="F24" s="178">
        <v>27240</v>
      </c>
      <c r="G24" s="180">
        <f>[7]Kiadások!$F$28</f>
        <v>5993</v>
      </c>
      <c r="H24" s="180">
        <f>[7]Kiadások!$F$53</f>
        <v>16759</v>
      </c>
      <c r="I24" s="180"/>
      <c r="J24" s="180"/>
      <c r="K24" s="180"/>
      <c r="L24" s="180">
        <v>508</v>
      </c>
      <c r="M24" s="251">
        <f t="shared" ref="M24" si="6">+F24+G24+H24+I24+K24+L24</f>
        <v>50500</v>
      </c>
      <c r="N24" s="273"/>
    </row>
    <row r="25" spans="1:14" s="70" customFormat="1" ht="20.100000000000001" customHeight="1">
      <c r="A25" s="26" t="s">
        <v>229</v>
      </c>
      <c r="B25" s="179"/>
      <c r="C25" s="178"/>
      <c r="D25" s="179">
        <v>50500</v>
      </c>
      <c r="E25" s="195">
        <f t="shared" si="2"/>
        <v>50500</v>
      </c>
      <c r="F25" s="178">
        <v>27240</v>
      </c>
      <c r="G25" s="180">
        <f>[7]Kiadások!$F$28</f>
        <v>5993</v>
      </c>
      <c r="H25" s="180">
        <f>[7]Kiadások!$F$53</f>
        <v>16759</v>
      </c>
      <c r="I25" s="180"/>
      <c r="J25" s="180"/>
      <c r="K25" s="180"/>
      <c r="L25" s="180">
        <v>508</v>
      </c>
      <c r="M25" s="251">
        <f t="shared" si="3"/>
        <v>50500</v>
      </c>
      <c r="N25" s="273"/>
    </row>
    <row r="26" spans="1:14" s="70" customFormat="1" ht="20.100000000000001" customHeight="1">
      <c r="A26" s="267" t="s">
        <v>201</v>
      </c>
      <c r="B26" s="179">
        <v>5000</v>
      </c>
      <c r="C26" s="178">
        <v>12987</v>
      </c>
      <c r="D26" s="179"/>
      <c r="E26" s="195">
        <f t="shared" si="2"/>
        <v>17987</v>
      </c>
      <c r="F26" s="178">
        <f>[1]Karrier!$F$57</f>
        <v>12046</v>
      </c>
      <c r="G26" s="180">
        <f>[1]Karrier!$F$60</f>
        <v>2721</v>
      </c>
      <c r="H26" s="180">
        <f>[1]Karrier!$F$85</f>
        <v>2706</v>
      </c>
      <c r="I26" s="180"/>
      <c r="J26" s="180"/>
      <c r="K26" s="180">
        <f>[1]Karrier!$F$99</f>
        <v>514</v>
      </c>
      <c r="L26" s="180"/>
      <c r="M26" s="251">
        <f t="shared" si="3"/>
        <v>17987</v>
      </c>
      <c r="N26" s="273"/>
    </row>
    <row r="27" spans="1:14" s="70" customFormat="1" ht="20.100000000000001" customHeight="1">
      <c r="A27" s="267" t="s">
        <v>220</v>
      </c>
      <c r="B27" s="179"/>
      <c r="C27" s="178"/>
      <c r="D27" s="179">
        <v>132398</v>
      </c>
      <c r="E27" s="195">
        <f t="shared" si="2"/>
        <v>132398</v>
      </c>
      <c r="F27" s="178">
        <v>44500</v>
      </c>
      <c r="G27" s="180">
        <v>9790</v>
      </c>
      <c r="H27" s="180">
        <v>78108</v>
      </c>
      <c r="I27" s="180"/>
      <c r="J27" s="180"/>
      <c r="K27" s="180"/>
      <c r="L27" s="180"/>
      <c r="M27" s="251">
        <f t="shared" si="3"/>
        <v>132398</v>
      </c>
      <c r="N27" s="273"/>
    </row>
    <row r="28" spans="1:14" s="70" customFormat="1" ht="24.95" customHeight="1">
      <c r="A28" s="30" t="s">
        <v>219</v>
      </c>
      <c r="B28" s="179">
        <v>6693</v>
      </c>
      <c r="C28" s="179">
        <v>6064</v>
      </c>
      <c r="D28" s="179">
        <v>2200</v>
      </c>
      <c r="E28" s="195">
        <f t="shared" si="2"/>
        <v>14957</v>
      </c>
      <c r="F28" s="178"/>
      <c r="G28" s="180"/>
      <c r="H28" s="180">
        <v>9608</v>
      </c>
      <c r="I28" s="180">
        <v>2500</v>
      </c>
      <c r="J28" s="180"/>
      <c r="K28" s="180">
        <v>2849</v>
      </c>
      <c r="L28" s="180"/>
      <c r="M28" s="251">
        <f t="shared" si="3"/>
        <v>14957</v>
      </c>
      <c r="N28" s="273"/>
    </row>
    <row r="29" spans="1:14" s="189" customFormat="1" ht="19.5" customHeight="1">
      <c r="A29" s="187" t="s">
        <v>205</v>
      </c>
      <c r="B29" s="188">
        <f t="shared" ref="B29:M29" si="7">B30+B31+B32+B33+B34+B36+B37</f>
        <v>33000</v>
      </c>
      <c r="C29" s="188">
        <f t="shared" si="7"/>
        <v>847384</v>
      </c>
      <c r="D29" s="188">
        <f t="shared" si="7"/>
        <v>47887</v>
      </c>
      <c r="E29" s="188">
        <f t="shared" si="7"/>
        <v>928271</v>
      </c>
      <c r="F29" s="379">
        <f t="shared" si="7"/>
        <v>425561</v>
      </c>
      <c r="G29" s="188">
        <f t="shared" si="7"/>
        <v>93169</v>
      </c>
      <c r="H29" s="188">
        <f t="shared" si="7"/>
        <v>409033.1</v>
      </c>
      <c r="I29" s="188">
        <f t="shared" si="7"/>
        <v>0</v>
      </c>
      <c r="J29" s="188">
        <f t="shared" si="7"/>
        <v>0</v>
      </c>
      <c r="K29" s="188">
        <f t="shared" si="7"/>
        <v>508</v>
      </c>
      <c r="L29" s="188">
        <f t="shared" si="7"/>
        <v>0</v>
      </c>
      <c r="M29" s="255">
        <f t="shared" si="7"/>
        <v>928271.1</v>
      </c>
      <c r="N29" s="273"/>
    </row>
    <row r="30" spans="1:14" s="70" customFormat="1" ht="20.100000000000001" customHeight="1">
      <c r="A30" s="135" t="s">
        <v>206</v>
      </c>
      <c r="B30" s="178"/>
      <c r="C30" s="178">
        <v>21341</v>
      </c>
      <c r="D30" s="178"/>
      <c r="E30" s="195">
        <f t="shared" si="2"/>
        <v>21341</v>
      </c>
      <c r="F30" s="178">
        <f>[1]Belsőell!$H$57</f>
        <v>16550</v>
      </c>
      <c r="G30" s="178">
        <f>[1]Belsőell!$H$60</f>
        <v>3791</v>
      </c>
      <c r="H30" s="178">
        <v>1000</v>
      </c>
      <c r="I30" s="178"/>
      <c r="J30" s="178"/>
      <c r="K30" s="178"/>
      <c r="L30" s="178"/>
      <c r="M30" s="251">
        <f t="shared" si="3"/>
        <v>21341</v>
      </c>
      <c r="N30" s="273"/>
    </row>
    <row r="31" spans="1:14" ht="20.100000000000001" customHeight="1">
      <c r="A31" s="26" t="s">
        <v>207</v>
      </c>
      <c r="B31" s="179"/>
      <c r="C31" s="179">
        <v>173955</v>
      </c>
      <c r="D31" s="179"/>
      <c r="E31" s="181">
        <f t="shared" si="2"/>
        <v>173955</v>
      </c>
      <c r="F31" s="178">
        <f>[1]Kancellária!$F$57</f>
        <v>82986</v>
      </c>
      <c r="G31" s="179">
        <f>[1]Kancellária!$F$60</f>
        <v>17960</v>
      </c>
      <c r="H31" s="179">
        <f>[1]Kancellária!$F$85</f>
        <v>73009</v>
      </c>
      <c r="I31" s="179"/>
      <c r="J31" s="179"/>
      <c r="K31" s="179"/>
      <c r="L31" s="179"/>
      <c r="M31" s="251">
        <f t="shared" si="3"/>
        <v>173955</v>
      </c>
      <c r="N31" s="273"/>
    </row>
    <row r="32" spans="1:14" s="70" customFormat="1" ht="20.100000000000001" customHeight="1">
      <c r="A32" s="91" t="s">
        <v>208</v>
      </c>
      <c r="B32" s="180"/>
      <c r="C32" s="180">
        <v>193905</v>
      </c>
      <c r="D32" s="180"/>
      <c r="E32" s="181">
        <f t="shared" si="2"/>
        <v>193905</v>
      </c>
      <c r="F32" s="178">
        <f>[1]SZKPig!$F$57</f>
        <v>155812</v>
      </c>
      <c r="G32" s="180">
        <f>[1]SZKPig!$F$60</f>
        <v>33992</v>
      </c>
      <c r="H32" s="180">
        <f>[1]SZKPig!$F$85</f>
        <v>4101</v>
      </c>
      <c r="I32" s="180"/>
      <c r="J32" s="180"/>
      <c r="K32" s="180"/>
      <c r="L32" s="180"/>
      <c r="M32" s="251">
        <f t="shared" si="3"/>
        <v>193905</v>
      </c>
      <c r="N32" s="273"/>
    </row>
    <row r="33" spans="1:14" ht="20.100000000000001" customHeight="1">
      <c r="A33" s="29" t="s">
        <v>209</v>
      </c>
      <c r="B33" s="179"/>
      <c r="C33" s="179">
        <v>29381</v>
      </c>
      <c r="D33" s="179"/>
      <c r="E33" s="181">
        <f t="shared" si="2"/>
        <v>29381</v>
      </c>
      <c r="F33" s="178">
        <f>[1]Közbesz!$F$57</f>
        <v>18620</v>
      </c>
      <c r="G33" s="179">
        <f>[1]Közbesz!$F$60</f>
        <v>4138</v>
      </c>
      <c r="H33" s="179">
        <f>[1]Közbesz!$F$85</f>
        <v>6115</v>
      </c>
      <c r="I33" s="179"/>
      <c r="J33" s="179"/>
      <c r="K33" s="179">
        <f>[1]Közbesz!$F$99</f>
        <v>508</v>
      </c>
      <c r="L33" s="179"/>
      <c r="M33" s="251">
        <f t="shared" si="3"/>
        <v>29381</v>
      </c>
      <c r="N33" s="273"/>
    </row>
    <row r="34" spans="1:14" s="244" customFormat="1" ht="20.100000000000001" customHeight="1">
      <c r="A34" s="247" t="s">
        <v>210</v>
      </c>
      <c r="B34" s="241"/>
      <c r="C34" s="241">
        <v>169569</v>
      </c>
      <c r="D34" s="241"/>
      <c r="E34" s="248">
        <f t="shared" ref="E34:E35" si="8">+B34+C34+D34</f>
        <v>169569</v>
      </c>
      <c r="F34" s="242">
        <f>[8]Kiadások!$F$25</f>
        <v>27540</v>
      </c>
      <c r="G34" s="241">
        <f>[8]Kiadások!$F$28</f>
        <v>6073</v>
      </c>
      <c r="H34" s="241">
        <f>[8]Kiadások!$F$53+120000</f>
        <v>135956</v>
      </c>
      <c r="I34" s="241"/>
      <c r="J34" s="241"/>
      <c r="K34" s="241"/>
      <c r="L34" s="241"/>
      <c r="M34" s="254">
        <f t="shared" ref="M34:M35" si="9">+F34+G34+H34+I34+K34+L34</f>
        <v>169569</v>
      </c>
      <c r="N34" s="273"/>
    </row>
    <row r="35" spans="1:14" ht="20.100000000000001" customHeight="1">
      <c r="A35" s="26" t="s">
        <v>255</v>
      </c>
      <c r="B35" s="179"/>
      <c r="C35" s="179">
        <v>120000</v>
      </c>
      <c r="D35" s="179"/>
      <c r="E35" s="181">
        <f t="shared" si="8"/>
        <v>120000</v>
      </c>
      <c r="F35" s="178"/>
      <c r="G35" s="179"/>
      <c r="H35" s="179">
        <v>120000</v>
      </c>
      <c r="I35" s="179"/>
      <c r="J35" s="179"/>
      <c r="K35" s="179"/>
      <c r="L35" s="179"/>
      <c r="M35" s="251">
        <f t="shared" si="9"/>
        <v>120000</v>
      </c>
      <c r="N35" s="273"/>
    </row>
    <row r="36" spans="1:14" ht="20.100000000000001" customHeight="1">
      <c r="A36" s="29" t="s">
        <v>252</v>
      </c>
      <c r="B36" s="179">
        <v>33000</v>
      </c>
      <c r="C36" s="179">
        <f>292233-33000</f>
        <v>259233</v>
      </c>
      <c r="D36" s="179"/>
      <c r="E36" s="181">
        <f t="shared" si="2"/>
        <v>292233</v>
      </c>
      <c r="F36" s="181">
        <f>[1]IFO!$F$57</f>
        <v>88074</v>
      </c>
      <c r="G36" s="181">
        <f>[1]IFO!$F$60</f>
        <v>18957</v>
      </c>
      <c r="H36" s="181">
        <f>[1]IFO!$F$85</f>
        <v>185202.1</v>
      </c>
      <c r="I36" s="181"/>
      <c r="J36" s="181"/>
      <c r="K36" s="181"/>
      <c r="L36" s="181"/>
      <c r="M36" s="251">
        <f t="shared" si="3"/>
        <v>292233.09999999998</v>
      </c>
      <c r="N36" s="273"/>
    </row>
    <row r="37" spans="1:14" s="20" customFormat="1" ht="20.100000000000001" customHeight="1">
      <c r="A37" s="136" t="s">
        <v>211</v>
      </c>
      <c r="B37" s="178"/>
      <c r="C37" s="178"/>
      <c r="D37" s="178">
        <f>47239+648</f>
        <v>47887</v>
      </c>
      <c r="E37" s="181">
        <f t="shared" si="2"/>
        <v>47887</v>
      </c>
      <c r="F37" s="178">
        <f>[1]PIF!$F$57</f>
        <v>35979</v>
      </c>
      <c r="G37" s="178">
        <f>[1]PIF!$F$60</f>
        <v>8258</v>
      </c>
      <c r="H37" s="178">
        <f>[1]PIF!$F$85</f>
        <v>3650</v>
      </c>
      <c r="I37" s="178"/>
      <c r="J37" s="178"/>
      <c r="K37" s="178"/>
      <c r="L37" s="178"/>
      <c r="M37" s="256">
        <f t="shared" si="3"/>
        <v>47887</v>
      </c>
      <c r="N37" s="273"/>
    </row>
    <row r="38" spans="1:14" s="24" customFormat="1" ht="18.75" customHeight="1" thickBot="1">
      <c r="A38" s="31" t="s">
        <v>1</v>
      </c>
      <c r="B38" s="190">
        <f t="shared" ref="B38:M38" si="10">B6+B29</f>
        <v>659282</v>
      </c>
      <c r="C38" s="190">
        <f t="shared" si="10"/>
        <v>1483779</v>
      </c>
      <c r="D38" s="190">
        <f t="shared" si="10"/>
        <v>644760</v>
      </c>
      <c r="E38" s="190">
        <f t="shared" si="10"/>
        <v>2787821</v>
      </c>
      <c r="F38" s="380">
        <f t="shared" si="10"/>
        <v>952543</v>
      </c>
      <c r="G38" s="190">
        <f t="shared" si="10"/>
        <v>210803</v>
      </c>
      <c r="H38" s="190">
        <f t="shared" si="10"/>
        <v>1065788.1000000001</v>
      </c>
      <c r="I38" s="190">
        <f t="shared" si="10"/>
        <v>487404</v>
      </c>
      <c r="J38" s="190">
        <f t="shared" si="10"/>
        <v>1600</v>
      </c>
      <c r="K38" s="190">
        <f t="shared" si="10"/>
        <v>41870</v>
      </c>
      <c r="L38" s="190">
        <f t="shared" si="10"/>
        <v>27813</v>
      </c>
      <c r="M38" s="257">
        <f t="shared" si="10"/>
        <v>2787821.1</v>
      </c>
      <c r="N38" s="273"/>
    </row>
    <row r="39" spans="1:14">
      <c r="A39" s="73" t="s">
        <v>221</v>
      </c>
      <c r="B39" s="19"/>
      <c r="C39" s="19"/>
      <c r="D39" s="19"/>
      <c r="E39" s="19"/>
      <c r="F39" s="88"/>
      <c r="G39" s="19"/>
      <c r="H39" s="19"/>
      <c r="I39" s="19"/>
      <c r="J39" s="19"/>
      <c r="K39" s="19"/>
      <c r="L39" s="19"/>
      <c r="M39" s="19"/>
      <c r="N39" s="19"/>
    </row>
    <row r="40" spans="1:14" ht="14.25" customHeight="1">
      <c r="B40" s="87"/>
      <c r="C40" s="87"/>
      <c r="F40" s="88"/>
      <c r="M40" s="19"/>
    </row>
    <row r="41" spans="1:14">
      <c r="A41" s="74"/>
      <c r="B41" s="88"/>
      <c r="C41" s="88"/>
    </row>
    <row r="42" spans="1:14">
      <c r="A42" s="72"/>
      <c r="B42" s="88"/>
      <c r="C42" s="88"/>
      <c r="D42" s="200"/>
      <c r="E42" s="200"/>
      <c r="F42" s="88"/>
    </row>
    <row r="43" spans="1:14">
      <c r="A43" s="74"/>
      <c r="B43" s="88"/>
      <c r="C43" s="88"/>
    </row>
    <row r="44" spans="1:14">
      <c r="B44" s="328"/>
      <c r="C44" s="328"/>
      <c r="D44" s="249"/>
      <c r="E44" s="249"/>
      <c r="F44" s="381"/>
      <c r="G44" s="74"/>
      <c r="H44" s="74"/>
      <c r="I44" s="74"/>
      <c r="J44" s="74"/>
      <c r="M44" s="19"/>
    </row>
    <row r="45" spans="1:14">
      <c r="B45" s="74"/>
      <c r="C45" s="74"/>
    </row>
  </sheetData>
  <mergeCells count="16">
    <mergeCell ref="E4:E5"/>
    <mergeCell ref="L4:L5"/>
    <mergeCell ref="M4:M5"/>
    <mergeCell ref="A1:M1"/>
    <mergeCell ref="A3:A5"/>
    <mergeCell ref="F3:M3"/>
    <mergeCell ref="F4:F5"/>
    <mergeCell ref="G4:G5"/>
    <mergeCell ref="H4:H5"/>
    <mergeCell ref="I4:I5"/>
    <mergeCell ref="J4:J5"/>
    <mergeCell ref="K4:K5"/>
    <mergeCell ref="B3:E3"/>
    <mergeCell ref="B4:B5"/>
    <mergeCell ref="C4:C5"/>
    <mergeCell ref="D4:D5"/>
  </mergeCells>
  <printOptions horizontalCentered="1"/>
  <pageMargins left="0" right="0.19685039370078741" top="0.35433070866141736" bottom="0" header="0.31496062992125984" footer="0"/>
  <pageSetup paperSize="9" scale="72" fitToHeight="0" orientation="landscape" r:id="rId1"/>
  <headerFooter>
    <oddHeader>&amp;R&amp;"Times New Roman,Félkövér dőlt"7. sz. melléklet</oddHeader>
  </headerFooter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9" zoomScale="90" zoomScaleNormal="90" workbookViewId="0">
      <selection activeCell="C20" sqref="C20"/>
    </sheetView>
  </sheetViews>
  <sheetFormatPr defaultRowHeight="12.75"/>
  <cols>
    <col min="1" max="1" width="46.7109375" style="1" customWidth="1"/>
    <col min="2" max="13" width="12.7109375" style="1" customWidth="1"/>
    <col min="14" max="185" width="9.140625" style="1"/>
    <col min="186" max="186" width="31.28515625" style="1" customWidth="1"/>
    <col min="187" max="187" width="9.85546875" style="1" customWidth="1"/>
    <col min="188" max="189" width="9.28515625" style="1" customWidth="1"/>
    <col min="190" max="192" width="9.140625" style="1"/>
    <col min="193" max="194" width="8.28515625" style="1" customWidth="1"/>
    <col min="195" max="195" width="9.140625" style="1" customWidth="1"/>
    <col min="196" max="197" width="9.140625" style="1"/>
    <col min="198" max="198" width="8.28515625" style="1" customWidth="1"/>
    <col min="199" max="199" width="9.140625" style="1"/>
    <col min="200" max="200" width="7.42578125" style="1" customWidth="1"/>
    <col min="201" max="201" width="8.7109375" style="1" customWidth="1"/>
    <col min="202" max="202" width="11.5703125" style="1" customWidth="1"/>
    <col min="203" max="441" width="9.140625" style="1"/>
    <col min="442" max="442" width="31.28515625" style="1" customWidth="1"/>
    <col min="443" max="443" width="9.85546875" style="1" customWidth="1"/>
    <col min="444" max="445" width="9.28515625" style="1" customWidth="1"/>
    <col min="446" max="448" width="9.140625" style="1"/>
    <col min="449" max="450" width="8.28515625" style="1" customWidth="1"/>
    <col min="451" max="451" width="9.140625" style="1" customWidth="1"/>
    <col min="452" max="453" width="9.140625" style="1"/>
    <col min="454" max="454" width="8.28515625" style="1" customWidth="1"/>
    <col min="455" max="455" width="9.140625" style="1"/>
    <col min="456" max="456" width="7.42578125" style="1" customWidth="1"/>
    <col min="457" max="457" width="8.7109375" style="1" customWidth="1"/>
    <col min="458" max="458" width="11.5703125" style="1" customWidth="1"/>
    <col min="459" max="697" width="9.140625" style="1"/>
    <col min="698" max="698" width="31.28515625" style="1" customWidth="1"/>
    <col min="699" max="699" width="9.85546875" style="1" customWidth="1"/>
    <col min="700" max="701" width="9.28515625" style="1" customWidth="1"/>
    <col min="702" max="704" width="9.140625" style="1"/>
    <col min="705" max="706" width="8.28515625" style="1" customWidth="1"/>
    <col min="707" max="707" width="9.140625" style="1" customWidth="1"/>
    <col min="708" max="709" width="9.140625" style="1"/>
    <col min="710" max="710" width="8.28515625" style="1" customWidth="1"/>
    <col min="711" max="711" width="9.140625" style="1"/>
    <col min="712" max="712" width="7.42578125" style="1" customWidth="1"/>
    <col min="713" max="713" width="8.7109375" style="1" customWidth="1"/>
    <col min="714" max="714" width="11.5703125" style="1" customWidth="1"/>
    <col min="715" max="953" width="9.140625" style="1"/>
    <col min="954" max="954" width="31.28515625" style="1" customWidth="1"/>
    <col min="955" max="955" width="9.85546875" style="1" customWidth="1"/>
    <col min="956" max="957" width="9.28515625" style="1" customWidth="1"/>
    <col min="958" max="960" width="9.140625" style="1"/>
    <col min="961" max="962" width="8.28515625" style="1" customWidth="1"/>
    <col min="963" max="963" width="9.140625" style="1" customWidth="1"/>
    <col min="964" max="965" width="9.140625" style="1"/>
    <col min="966" max="966" width="8.28515625" style="1" customWidth="1"/>
    <col min="967" max="967" width="9.140625" style="1"/>
    <col min="968" max="968" width="7.42578125" style="1" customWidth="1"/>
    <col min="969" max="969" width="8.7109375" style="1" customWidth="1"/>
    <col min="970" max="970" width="11.5703125" style="1" customWidth="1"/>
    <col min="971" max="1209" width="9.140625" style="1"/>
    <col min="1210" max="1210" width="31.28515625" style="1" customWidth="1"/>
    <col min="1211" max="1211" width="9.85546875" style="1" customWidth="1"/>
    <col min="1212" max="1213" width="9.28515625" style="1" customWidth="1"/>
    <col min="1214" max="1216" width="9.140625" style="1"/>
    <col min="1217" max="1218" width="8.28515625" style="1" customWidth="1"/>
    <col min="1219" max="1219" width="9.140625" style="1" customWidth="1"/>
    <col min="1220" max="1221" width="9.140625" style="1"/>
    <col min="1222" max="1222" width="8.28515625" style="1" customWidth="1"/>
    <col min="1223" max="1223" width="9.140625" style="1"/>
    <col min="1224" max="1224" width="7.42578125" style="1" customWidth="1"/>
    <col min="1225" max="1225" width="8.7109375" style="1" customWidth="1"/>
    <col min="1226" max="1226" width="11.5703125" style="1" customWidth="1"/>
    <col min="1227" max="1465" width="9.140625" style="1"/>
    <col min="1466" max="1466" width="31.28515625" style="1" customWidth="1"/>
    <col min="1467" max="1467" width="9.85546875" style="1" customWidth="1"/>
    <col min="1468" max="1469" width="9.28515625" style="1" customWidth="1"/>
    <col min="1470" max="1472" width="9.140625" style="1"/>
    <col min="1473" max="1474" width="8.28515625" style="1" customWidth="1"/>
    <col min="1475" max="1475" width="9.140625" style="1" customWidth="1"/>
    <col min="1476" max="1477" width="9.140625" style="1"/>
    <col min="1478" max="1478" width="8.28515625" style="1" customWidth="1"/>
    <col min="1479" max="1479" width="9.140625" style="1"/>
    <col min="1480" max="1480" width="7.42578125" style="1" customWidth="1"/>
    <col min="1481" max="1481" width="8.7109375" style="1" customWidth="1"/>
    <col min="1482" max="1482" width="11.5703125" style="1" customWidth="1"/>
    <col min="1483" max="1721" width="9.140625" style="1"/>
    <col min="1722" max="1722" width="31.28515625" style="1" customWidth="1"/>
    <col min="1723" max="1723" width="9.85546875" style="1" customWidth="1"/>
    <col min="1724" max="1725" width="9.28515625" style="1" customWidth="1"/>
    <col min="1726" max="1728" width="9.140625" style="1"/>
    <col min="1729" max="1730" width="8.28515625" style="1" customWidth="1"/>
    <col min="1731" max="1731" width="9.140625" style="1" customWidth="1"/>
    <col min="1732" max="1733" width="9.140625" style="1"/>
    <col min="1734" max="1734" width="8.28515625" style="1" customWidth="1"/>
    <col min="1735" max="1735" width="9.140625" style="1"/>
    <col min="1736" max="1736" width="7.42578125" style="1" customWidth="1"/>
    <col min="1737" max="1737" width="8.7109375" style="1" customWidth="1"/>
    <col min="1738" max="1738" width="11.5703125" style="1" customWidth="1"/>
    <col min="1739" max="1977" width="9.140625" style="1"/>
    <col min="1978" max="1978" width="31.28515625" style="1" customWidth="1"/>
    <col min="1979" max="1979" width="9.85546875" style="1" customWidth="1"/>
    <col min="1980" max="1981" width="9.28515625" style="1" customWidth="1"/>
    <col min="1982" max="1984" width="9.140625" style="1"/>
    <col min="1985" max="1986" width="8.28515625" style="1" customWidth="1"/>
    <col min="1987" max="1987" width="9.140625" style="1" customWidth="1"/>
    <col min="1988" max="1989" width="9.140625" style="1"/>
    <col min="1990" max="1990" width="8.28515625" style="1" customWidth="1"/>
    <col min="1991" max="1991" width="9.140625" style="1"/>
    <col min="1992" max="1992" width="7.42578125" style="1" customWidth="1"/>
    <col min="1993" max="1993" width="8.7109375" style="1" customWidth="1"/>
    <col min="1994" max="1994" width="11.5703125" style="1" customWidth="1"/>
    <col min="1995" max="2233" width="9.140625" style="1"/>
    <col min="2234" max="2234" width="31.28515625" style="1" customWidth="1"/>
    <col min="2235" max="2235" width="9.85546875" style="1" customWidth="1"/>
    <col min="2236" max="2237" width="9.28515625" style="1" customWidth="1"/>
    <col min="2238" max="2240" width="9.140625" style="1"/>
    <col min="2241" max="2242" width="8.28515625" style="1" customWidth="1"/>
    <col min="2243" max="2243" width="9.140625" style="1" customWidth="1"/>
    <col min="2244" max="2245" width="9.140625" style="1"/>
    <col min="2246" max="2246" width="8.28515625" style="1" customWidth="1"/>
    <col min="2247" max="2247" width="9.140625" style="1"/>
    <col min="2248" max="2248" width="7.42578125" style="1" customWidth="1"/>
    <col min="2249" max="2249" width="8.7109375" style="1" customWidth="1"/>
    <col min="2250" max="2250" width="11.5703125" style="1" customWidth="1"/>
    <col min="2251" max="2489" width="9.140625" style="1"/>
    <col min="2490" max="2490" width="31.28515625" style="1" customWidth="1"/>
    <col min="2491" max="2491" width="9.85546875" style="1" customWidth="1"/>
    <col min="2492" max="2493" width="9.28515625" style="1" customWidth="1"/>
    <col min="2494" max="2496" width="9.140625" style="1"/>
    <col min="2497" max="2498" width="8.28515625" style="1" customWidth="1"/>
    <col min="2499" max="2499" width="9.140625" style="1" customWidth="1"/>
    <col min="2500" max="2501" width="9.140625" style="1"/>
    <col min="2502" max="2502" width="8.28515625" style="1" customWidth="1"/>
    <col min="2503" max="2503" width="9.140625" style="1"/>
    <col min="2504" max="2504" width="7.42578125" style="1" customWidth="1"/>
    <col min="2505" max="2505" width="8.7109375" style="1" customWidth="1"/>
    <col min="2506" max="2506" width="11.5703125" style="1" customWidth="1"/>
    <col min="2507" max="2745" width="9.140625" style="1"/>
    <col min="2746" max="2746" width="31.28515625" style="1" customWidth="1"/>
    <col min="2747" max="2747" width="9.85546875" style="1" customWidth="1"/>
    <col min="2748" max="2749" width="9.28515625" style="1" customWidth="1"/>
    <col min="2750" max="2752" width="9.140625" style="1"/>
    <col min="2753" max="2754" width="8.28515625" style="1" customWidth="1"/>
    <col min="2755" max="2755" width="9.140625" style="1" customWidth="1"/>
    <col min="2756" max="2757" width="9.140625" style="1"/>
    <col min="2758" max="2758" width="8.28515625" style="1" customWidth="1"/>
    <col min="2759" max="2759" width="9.140625" style="1"/>
    <col min="2760" max="2760" width="7.42578125" style="1" customWidth="1"/>
    <col min="2761" max="2761" width="8.7109375" style="1" customWidth="1"/>
    <col min="2762" max="2762" width="11.5703125" style="1" customWidth="1"/>
    <col min="2763" max="3001" width="9.140625" style="1"/>
    <col min="3002" max="3002" width="31.28515625" style="1" customWidth="1"/>
    <col min="3003" max="3003" width="9.85546875" style="1" customWidth="1"/>
    <col min="3004" max="3005" width="9.28515625" style="1" customWidth="1"/>
    <col min="3006" max="3008" width="9.140625" style="1"/>
    <col min="3009" max="3010" width="8.28515625" style="1" customWidth="1"/>
    <col min="3011" max="3011" width="9.140625" style="1" customWidth="1"/>
    <col min="3012" max="3013" width="9.140625" style="1"/>
    <col min="3014" max="3014" width="8.28515625" style="1" customWidth="1"/>
    <col min="3015" max="3015" width="9.140625" style="1"/>
    <col min="3016" max="3016" width="7.42578125" style="1" customWidth="1"/>
    <col min="3017" max="3017" width="8.7109375" style="1" customWidth="1"/>
    <col min="3018" max="3018" width="11.5703125" style="1" customWidth="1"/>
    <col min="3019" max="3257" width="9.140625" style="1"/>
    <col min="3258" max="3258" width="31.28515625" style="1" customWidth="1"/>
    <col min="3259" max="3259" width="9.85546875" style="1" customWidth="1"/>
    <col min="3260" max="3261" width="9.28515625" style="1" customWidth="1"/>
    <col min="3262" max="3264" width="9.140625" style="1"/>
    <col min="3265" max="3266" width="8.28515625" style="1" customWidth="1"/>
    <col min="3267" max="3267" width="9.140625" style="1" customWidth="1"/>
    <col min="3268" max="3269" width="9.140625" style="1"/>
    <col min="3270" max="3270" width="8.28515625" style="1" customWidth="1"/>
    <col min="3271" max="3271" width="9.140625" style="1"/>
    <col min="3272" max="3272" width="7.42578125" style="1" customWidth="1"/>
    <col min="3273" max="3273" width="8.7109375" style="1" customWidth="1"/>
    <col min="3274" max="3274" width="11.5703125" style="1" customWidth="1"/>
    <col min="3275" max="3513" width="9.140625" style="1"/>
    <col min="3514" max="3514" width="31.28515625" style="1" customWidth="1"/>
    <col min="3515" max="3515" width="9.85546875" style="1" customWidth="1"/>
    <col min="3516" max="3517" width="9.28515625" style="1" customWidth="1"/>
    <col min="3518" max="3520" width="9.140625" style="1"/>
    <col min="3521" max="3522" width="8.28515625" style="1" customWidth="1"/>
    <col min="3523" max="3523" width="9.140625" style="1" customWidth="1"/>
    <col min="3524" max="3525" width="9.140625" style="1"/>
    <col min="3526" max="3526" width="8.28515625" style="1" customWidth="1"/>
    <col min="3527" max="3527" width="9.140625" style="1"/>
    <col min="3528" max="3528" width="7.42578125" style="1" customWidth="1"/>
    <col min="3529" max="3529" width="8.7109375" style="1" customWidth="1"/>
    <col min="3530" max="3530" width="11.5703125" style="1" customWidth="1"/>
    <col min="3531" max="3769" width="9.140625" style="1"/>
    <col min="3770" max="3770" width="31.28515625" style="1" customWidth="1"/>
    <col min="3771" max="3771" width="9.85546875" style="1" customWidth="1"/>
    <col min="3772" max="3773" width="9.28515625" style="1" customWidth="1"/>
    <col min="3774" max="3776" width="9.140625" style="1"/>
    <col min="3777" max="3778" width="8.28515625" style="1" customWidth="1"/>
    <col min="3779" max="3779" width="9.140625" style="1" customWidth="1"/>
    <col min="3780" max="3781" width="9.140625" style="1"/>
    <col min="3782" max="3782" width="8.28515625" style="1" customWidth="1"/>
    <col min="3783" max="3783" width="9.140625" style="1"/>
    <col min="3784" max="3784" width="7.42578125" style="1" customWidth="1"/>
    <col min="3785" max="3785" width="8.7109375" style="1" customWidth="1"/>
    <col min="3786" max="3786" width="11.5703125" style="1" customWidth="1"/>
    <col min="3787" max="4025" width="9.140625" style="1"/>
    <col min="4026" max="4026" width="31.28515625" style="1" customWidth="1"/>
    <col min="4027" max="4027" width="9.85546875" style="1" customWidth="1"/>
    <col min="4028" max="4029" width="9.28515625" style="1" customWidth="1"/>
    <col min="4030" max="4032" width="9.140625" style="1"/>
    <col min="4033" max="4034" width="8.28515625" style="1" customWidth="1"/>
    <col min="4035" max="4035" width="9.140625" style="1" customWidth="1"/>
    <col min="4036" max="4037" width="9.140625" style="1"/>
    <col min="4038" max="4038" width="8.28515625" style="1" customWidth="1"/>
    <col min="4039" max="4039" width="9.140625" style="1"/>
    <col min="4040" max="4040" width="7.42578125" style="1" customWidth="1"/>
    <col min="4041" max="4041" width="8.7109375" style="1" customWidth="1"/>
    <col min="4042" max="4042" width="11.5703125" style="1" customWidth="1"/>
    <col min="4043" max="4281" width="9.140625" style="1"/>
    <col min="4282" max="4282" width="31.28515625" style="1" customWidth="1"/>
    <col min="4283" max="4283" width="9.85546875" style="1" customWidth="1"/>
    <col min="4284" max="4285" width="9.28515625" style="1" customWidth="1"/>
    <col min="4286" max="4288" width="9.140625" style="1"/>
    <col min="4289" max="4290" width="8.28515625" style="1" customWidth="1"/>
    <col min="4291" max="4291" width="9.140625" style="1" customWidth="1"/>
    <col min="4292" max="4293" width="9.140625" style="1"/>
    <col min="4294" max="4294" width="8.28515625" style="1" customWidth="1"/>
    <col min="4295" max="4295" width="9.140625" style="1"/>
    <col min="4296" max="4296" width="7.42578125" style="1" customWidth="1"/>
    <col min="4297" max="4297" width="8.7109375" style="1" customWidth="1"/>
    <col min="4298" max="4298" width="11.5703125" style="1" customWidth="1"/>
    <col min="4299" max="4537" width="9.140625" style="1"/>
    <col min="4538" max="4538" width="31.28515625" style="1" customWidth="1"/>
    <col min="4539" max="4539" width="9.85546875" style="1" customWidth="1"/>
    <col min="4540" max="4541" width="9.28515625" style="1" customWidth="1"/>
    <col min="4542" max="4544" width="9.140625" style="1"/>
    <col min="4545" max="4546" width="8.28515625" style="1" customWidth="1"/>
    <col min="4547" max="4547" width="9.140625" style="1" customWidth="1"/>
    <col min="4548" max="4549" width="9.140625" style="1"/>
    <col min="4550" max="4550" width="8.28515625" style="1" customWidth="1"/>
    <col min="4551" max="4551" width="9.140625" style="1"/>
    <col min="4552" max="4552" width="7.42578125" style="1" customWidth="1"/>
    <col min="4553" max="4553" width="8.7109375" style="1" customWidth="1"/>
    <col min="4554" max="4554" width="11.5703125" style="1" customWidth="1"/>
    <col min="4555" max="4793" width="9.140625" style="1"/>
    <col min="4794" max="4794" width="31.28515625" style="1" customWidth="1"/>
    <col min="4795" max="4795" width="9.85546875" style="1" customWidth="1"/>
    <col min="4796" max="4797" width="9.28515625" style="1" customWidth="1"/>
    <col min="4798" max="4800" width="9.140625" style="1"/>
    <col min="4801" max="4802" width="8.28515625" style="1" customWidth="1"/>
    <col min="4803" max="4803" width="9.140625" style="1" customWidth="1"/>
    <col min="4804" max="4805" width="9.140625" style="1"/>
    <col min="4806" max="4806" width="8.28515625" style="1" customWidth="1"/>
    <col min="4807" max="4807" width="9.140625" style="1"/>
    <col min="4808" max="4808" width="7.42578125" style="1" customWidth="1"/>
    <col min="4809" max="4809" width="8.7109375" style="1" customWidth="1"/>
    <col min="4810" max="4810" width="11.5703125" style="1" customWidth="1"/>
    <col min="4811" max="5049" width="9.140625" style="1"/>
    <col min="5050" max="5050" width="31.28515625" style="1" customWidth="1"/>
    <col min="5051" max="5051" width="9.85546875" style="1" customWidth="1"/>
    <col min="5052" max="5053" width="9.28515625" style="1" customWidth="1"/>
    <col min="5054" max="5056" width="9.140625" style="1"/>
    <col min="5057" max="5058" width="8.28515625" style="1" customWidth="1"/>
    <col min="5059" max="5059" width="9.140625" style="1" customWidth="1"/>
    <col min="5060" max="5061" width="9.140625" style="1"/>
    <col min="5062" max="5062" width="8.28515625" style="1" customWidth="1"/>
    <col min="5063" max="5063" width="9.140625" style="1"/>
    <col min="5064" max="5064" width="7.42578125" style="1" customWidth="1"/>
    <col min="5065" max="5065" width="8.7109375" style="1" customWidth="1"/>
    <col min="5066" max="5066" width="11.5703125" style="1" customWidth="1"/>
    <col min="5067" max="5305" width="9.140625" style="1"/>
    <col min="5306" max="5306" width="31.28515625" style="1" customWidth="1"/>
    <col min="5307" max="5307" width="9.85546875" style="1" customWidth="1"/>
    <col min="5308" max="5309" width="9.28515625" style="1" customWidth="1"/>
    <col min="5310" max="5312" width="9.140625" style="1"/>
    <col min="5313" max="5314" width="8.28515625" style="1" customWidth="1"/>
    <col min="5315" max="5315" width="9.140625" style="1" customWidth="1"/>
    <col min="5316" max="5317" width="9.140625" style="1"/>
    <col min="5318" max="5318" width="8.28515625" style="1" customWidth="1"/>
    <col min="5319" max="5319" width="9.140625" style="1"/>
    <col min="5320" max="5320" width="7.42578125" style="1" customWidth="1"/>
    <col min="5321" max="5321" width="8.7109375" style="1" customWidth="1"/>
    <col min="5322" max="5322" width="11.5703125" style="1" customWidth="1"/>
    <col min="5323" max="5561" width="9.140625" style="1"/>
    <col min="5562" max="5562" width="31.28515625" style="1" customWidth="1"/>
    <col min="5563" max="5563" width="9.85546875" style="1" customWidth="1"/>
    <col min="5564" max="5565" width="9.28515625" style="1" customWidth="1"/>
    <col min="5566" max="5568" width="9.140625" style="1"/>
    <col min="5569" max="5570" width="8.28515625" style="1" customWidth="1"/>
    <col min="5571" max="5571" width="9.140625" style="1" customWidth="1"/>
    <col min="5572" max="5573" width="9.140625" style="1"/>
    <col min="5574" max="5574" width="8.28515625" style="1" customWidth="1"/>
    <col min="5575" max="5575" width="9.140625" style="1"/>
    <col min="5576" max="5576" width="7.42578125" style="1" customWidth="1"/>
    <col min="5577" max="5577" width="8.7109375" style="1" customWidth="1"/>
    <col min="5578" max="5578" width="11.5703125" style="1" customWidth="1"/>
    <col min="5579" max="5817" width="9.140625" style="1"/>
    <col min="5818" max="5818" width="31.28515625" style="1" customWidth="1"/>
    <col min="5819" max="5819" width="9.85546875" style="1" customWidth="1"/>
    <col min="5820" max="5821" width="9.28515625" style="1" customWidth="1"/>
    <col min="5822" max="5824" width="9.140625" style="1"/>
    <col min="5825" max="5826" width="8.28515625" style="1" customWidth="1"/>
    <col min="5827" max="5827" width="9.140625" style="1" customWidth="1"/>
    <col min="5828" max="5829" width="9.140625" style="1"/>
    <col min="5830" max="5830" width="8.28515625" style="1" customWidth="1"/>
    <col min="5831" max="5831" width="9.140625" style="1"/>
    <col min="5832" max="5832" width="7.42578125" style="1" customWidth="1"/>
    <col min="5833" max="5833" width="8.7109375" style="1" customWidth="1"/>
    <col min="5834" max="5834" width="11.5703125" style="1" customWidth="1"/>
    <col min="5835" max="6073" width="9.140625" style="1"/>
    <col min="6074" max="6074" width="31.28515625" style="1" customWidth="1"/>
    <col min="6075" max="6075" width="9.85546875" style="1" customWidth="1"/>
    <col min="6076" max="6077" width="9.28515625" style="1" customWidth="1"/>
    <col min="6078" max="6080" width="9.140625" style="1"/>
    <col min="6081" max="6082" width="8.28515625" style="1" customWidth="1"/>
    <col min="6083" max="6083" width="9.140625" style="1" customWidth="1"/>
    <col min="6084" max="6085" width="9.140625" style="1"/>
    <col min="6086" max="6086" width="8.28515625" style="1" customWidth="1"/>
    <col min="6087" max="6087" width="9.140625" style="1"/>
    <col min="6088" max="6088" width="7.42578125" style="1" customWidth="1"/>
    <col min="6089" max="6089" width="8.7109375" style="1" customWidth="1"/>
    <col min="6090" max="6090" width="11.5703125" style="1" customWidth="1"/>
    <col min="6091" max="6329" width="9.140625" style="1"/>
    <col min="6330" max="6330" width="31.28515625" style="1" customWidth="1"/>
    <col min="6331" max="6331" width="9.85546875" style="1" customWidth="1"/>
    <col min="6332" max="6333" width="9.28515625" style="1" customWidth="1"/>
    <col min="6334" max="6336" width="9.140625" style="1"/>
    <col min="6337" max="6338" width="8.28515625" style="1" customWidth="1"/>
    <col min="6339" max="6339" width="9.140625" style="1" customWidth="1"/>
    <col min="6340" max="6341" width="9.140625" style="1"/>
    <col min="6342" max="6342" width="8.28515625" style="1" customWidth="1"/>
    <col min="6343" max="6343" width="9.140625" style="1"/>
    <col min="6344" max="6344" width="7.42578125" style="1" customWidth="1"/>
    <col min="6345" max="6345" width="8.7109375" style="1" customWidth="1"/>
    <col min="6346" max="6346" width="11.5703125" style="1" customWidth="1"/>
    <col min="6347" max="6585" width="9.140625" style="1"/>
    <col min="6586" max="6586" width="31.28515625" style="1" customWidth="1"/>
    <col min="6587" max="6587" width="9.85546875" style="1" customWidth="1"/>
    <col min="6588" max="6589" width="9.28515625" style="1" customWidth="1"/>
    <col min="6590" max="6592" width="9.140625" style="1"/>
    <col min="6593" max="6594" width="8.28515625" style="1" customWidth="1"/>
    <col min="6595" max="6595" width="9.140625" style="1" customWidth="1"/>
    <col min="6596" max="6597" width="9.140625" style="1"/>
    <col min="6598" max="6598" width="8.28515625" style="1" customWidth="1"/>
    <col min="6599" max="6599" width="9.140625" style="1"/>
    <col min="6600" max="6600" width="7.42578125" style="1" customWidth="1"/>
    <col min="6601" max="6601" width="8.7109375" style="1" customWidth="1"/>
    <col min="6602" max="6602" width="11.5703125" style="1" customWidth="1"/>
    <col min="6603" max="6841" width="9.140625" style="1"/>
    <col min="6842" max="6842" width="31.28515625" style="1" customWidth="1"/>
    <col min="6843" max="6843" width="9.85546875" style="1" customWidth="1"/>
    <col min="6844" max="6845" width="9.28515625" style="1" customWidth="1"/>
    <col min="6846" max="6848" width="9.140625" style="1"/>
    <col min="6849" max="6850" width="8.28515625" style="1" customWidth="1"/>
    <col min="6851" max="6851" width="9.140625" style="1" customWidth="1"/>
    <col min="6852" max="6853" width="9.140625" style="1"/>
    <col min="6854" max="6854" width="8.28515625" style="1" customWidth="1"/>
    <col min="6855" max="6855" width="9.140625" style="1"/>
    <col min="6856" max="6856" width="7.42578125" style="1" customWidth="1"/>
    <col min="6857" max="6857" width="8.7109375" style="1" customWidth="1"/>
    <col min="6858" max="6858" width="11.5703125" style="1" customWidth="1"/>
    <col min="6859" max="7097" width="9.140625" style="1"/>
    <col min="7098" max="7098" width="31.28515625" style="1" customWidth="1"/>
    <col min="7099" max="7099" width="9.85546875" style="1" customWidth="1"/>
    <col min="7100" max="7101" width="9.28515625" style="1" customWidth="1"/>
    <col min="7102" max="7104" width="9.140625" style="1"/>
    <col min="7105" max="7106" width="8.28515625" style="1" customWidth="1"/>
    <col min="7107" max="7107" width="9.140625" style="1" customWidth="1"/>
    <col min="7108" max="7109" width="9.140625" style="1"/>
    <col min="7110" max="7110" width="8.28515625" style="1" customWidth="1"/>
    <col min="7111" max="7111" width="9.140625" style="1"/>
    <col min="7112" max="7112" width="7.42578125" style="1" customWidth="1"/>
    <col min="7113" max="7113" width="8.7109375" style="1" customWidth="1"/>
    <col min="7114" max="7114" width="11.5703125" style="1" customWidth="1"/>
    <col min="7115" max="7353" width="9.140625" style="1"/>
    <col min="7354" max="7354" width="31.28515625" style="1" customWidth="1"/>
    <col min="7355" max="7355" width="9.85546875" style="1" customWidth="1"/>
    <col min="7356" max="7357" width="9.28515625" style="1" customWidth="1"/>
    <col min="7358" max="7360" width="9.140625" style="1"/>
    <col min="7361" max="7362" width="8.28515625" style="1" customWidth="1"/>
    <col min="7363" max="7363" width="9.140625" style="1" customWidth="1"/>
    <col min="7364" max="7365" width="9.140625" style="1"/>
    <col min="7366" max="7366" width="8.28515625" style="1" customWidth="1"/>
    <col min="7367" max="7367" width="9.140625" style="1"/>
    <col min="7368" max="7368" width="7.42578125" style="1" customWidth="1"/>
    <col min="7369" max="7369" width="8.7109375" style="1" customWidth="1"/>
    <col min="7370" max="7370" width="11.5703125" style="1" customWidth="1"/>
    <col min="7371" max="7609" width="9.140625" style="1"/>
    <col min="7610" max="7610" width="31.28515625" style="1" customWidth="1"/>
    <col min="7611" max="7611" width="9.85546875" style="1" customWidth="1"/>
    <col min="7612" max="7613" width="9.28515625" style="1" customWidth="1"/>
    <col min="7614" max="7616" width="9.140625" style="1"/>
    <col min="7617" max="7618" width="8.28515625" style="1" customWidth="1"/>
    <col min="7619" max="7619" width="9.140625" style="1" customWidth="1"/>
    <col min="7620" max="7621" width="9.140625" style="1"/>
    <col min="7622" max="7622" width="8.28515625" style="1" customWidth="1"/>
    <col min="7623" max="7623" width="9.140625" style="1"/>
    <col min="7624" max="7624" width="7.42578125" style="1" customWidth="1"/>
    <col min="7625" max="7625" width="8.7109375" style="1" customWidth="1"/>
    <col min="7626" max="7626" width="11.5703125" style="1" customWidth="1"/>
    <col min="7627" max="7865" width="9.140625" style="1"/>
    <col min="7866" max="7866" width="31.28515625" style="1" customWidth="1"/>
    <col min="7867" max="7867" width="9.85546875" style="1" customWidth="1"/>
    <col min="7868" max="7869" width="9.28515625" style="1" customWidth="1"/>
    <col min="7870" max="7872" width="9.140625" style="1"/>
    <col min="7873" max="7874" width="8.28515625" style="1" customWidth="1"/>
    <col min="7875" max="7875" width="9.140625" style="1" customWidth="1"/>
    <col min="7876" max="7877" width="9.140625" style="1"/>
    <col min="7878" max="7878" width="8.28515625" style="1" customWidth="1"/>
    <col min="7879" max="7879" width="9.140625" style="1"/>
    <col min="7880" max="7880" width="7.42578125" style="1" customWidth="1"/>
    <col min="7881" max="7881" width="8.7109375" style="1" customWidth="1"/>
    <col min="7882" max="7882" width="11.5703125" style="1" customWidth="1"/>
    <col min="7883" max="8121" width="9.140625" style="1"/>
    <col min="8122" max="8122" width="31.28515625" style="1" customWidth="1"/>
    <col min="8123" max="8123" width="9.85546875" style="1" customWidth="1"/>
    <col min="8124" max="8125" width="9.28515625" style="1" customWidth="1"/>
    <col min="8126" max="8128" width="9.140625" style="1"/>
    <col min="8129" max="8130" width="8.28515625" style="1" customWidth="1"/>
    <col min="8131" max="8131" width="9.140625" style="1" customWidth="1"/>
    <col min="8132" max="8133" width="9.140625" style="1"/>
    <col min="8134" max="8134" width="8.28515625" style="1" customWidth="1"/>
    <col min="8135" max="8135" width="9.140625" style="1"/>
    <col min="8136" max="8136" width="7.42578125" style="1" customWidth="1"/>
    <col min="8137" max="8137" width="8.7109375" style="1" customWidth="1"/>
    <col min="8138" max="8138" width="11.5703125" style="1" customWidth="1"/>
    <col min="8139" max="8377" width="9.140625" style="1"/>
    <col min="8378" max="8378" width="31.28515625" style="1" customWidth="1"/>
    <col min="8379" max="8379" width="9.85546875" style="1" customWidth="1"/>
    <col min="8380" max="8381" width="9.28515625" style="1" customWidth="1"/>
    <col min="8382" max="8384" width="9.140625" style="1"/>
    <col min="8385" max="8386" width="8.28515625" style="1" customWidth="1"/>
    <col min="8387" max="8387" width="9.140625" style="1" customWidth="1"/>
    <col min="8388" max="8389" width="9.140625" style="1"/>
    <col min="8390" max="8390" width="8.28515625" style="1" customWidth="1"/>
    <col min="8391" max="8391" width="9.140625" style="1"/>
    <col min="8392" max="8392" width="7.42578125" style="1" customWidth="1"/>
    <col min="8393" max="8393" width="8.7109375" style="1" customWidth="1"/>
    <col min="8394" max="8394" width="11.5703125" style="1" customWidth="1"/>
    <col min="8395" max="8633" width="9.140625" style="1"/>
    <col min="8634" max="8634" width="31.28515625" style="1" customWidth="1"/>
    <col min="8635" max="8635" width="9.85546875" style="1" customWidth="1"/>
    <col min="8636" max="8637" width="9.28515625" style="1" customWidth="1"/>
    <col min="8638" max="8640" width="9.140625" style="1"/>
    <col min="8641" max="8642" width="8.28515625" style="1" customWidth="1"/>
    <col min="8643" max="8643" width="9.140625" style="1" customWidth="1"/>
    <col min="8644" max="8645" width="9.140625" style="1"/>
    <col min="8646" max="8646" width="8.28515625" style="1" customWidth="1"/>
    <col min="8647" max="8647" width="9.140625" style="1"/>
    <col min="8648" max="8648" width="7.42578125" style="1" customWidth="1"/>
    <col min="8649" max="8649" width="8.7109375" style="1" customWidth="1"/>
    <col min="8650" max="8650" width="11.5703125" style="1" customWidth="1"/>
    <col min="8651" max="8889" width="9.140625" style="1"/>
    <col min="8890" max="8890" width="31.28515625" style="1" customWidth="1"/>
    <col min="8891" max="8891" width="9.85546875" style="1" customWidth="1"/>
    <col min="8892" max="8893" width="9.28515625" style="1" customWidth="1"/>
    <col min="8894" max="8896" width="9.140625" style="1"/>
    <col min="8897" max="8898" width="8.28515625" style="1" customWidth="1"/>
    <col min="8899" max="8899" width="9.140625" style="1" customWidth="1"/>
    <col min="8900" max="8901" width="9.140625" style="1"/>
    <col min="8902" max="8902" width="8.28515625" style="1" customWidth="1"/>
    <col min="8903" max="8903" width="9.140625" style="1"/>
    <col min="8904" max="8904" width="7.42578125" style="1" customWidth="1"/>
    <col min="8905" max="8905" width="8.7109375" style="1" customWidth="1"/>
    <col min="8906" max="8906" width="11.5703125" style="1" customWidth="1"/>
    <col min="8907" max="9145" width="9.140625" style="1"/>
    <col min="9146" max="9146" width="31.28515625" style="1" customWidth="1"/>
    <col min="9147" max="9147" width="9.85546875" style="1" customWidth="1"/>
    <col min="9148" max="9149" width="9.28515625" style="1" customWidth="1"/>
    <col min="9150" max="9152" width="9.140625" style="1"/>
    <col min="9153" max="9154" width="8.28515625" style="1" customWidth="1"/>
    <col min="9155" max="9155" width="9.140625" style="1" customWidth="1"/>
    <col min="9156" max="9157" width="9.140625" style="1"/>
    <col min="9158" max="9158" width="8.28515625" style="1" customWidth="1"/>
    <col min="9159" max="9159" width="9.140625" style="1"/>
    <col min="9160" max="9160" width="7.42578125" style="1" customWidth="1"/>
    <col min="9161" max="9161" width="8.7109375" style="1" customWidth="1"/>
    <col min="9162" max="9162" width="11.5703125" style="1" customWidth="1"/>
    <col min="9163" max="9401" width="9.140625" style="1"/>
    <col min="9402" max="9402" width="31.28515625" style="1" customWidth="1"/>
    <col min="9403" max="9403" width="9.85546875" style="1" customWidth="1"/>
    <col min="9404" max="9405" width="9.28515625" style="1" customWidth="1"/>
    <col min="9406" max="9408" width="9.140625" style="1"/>
    <col min="9409" max="9410" width="8.28515625" style="1" customWidth="1"/>
    <col min="9411" max="9411" width="9.140625" style="1" customWidth="1"/>
    <col min="9412" max="9413" width="9.140625" style="1"/>
    <col min="9414" max="9414" width="8.28515625" style="1" customWidth="1"/>
    <col min="9415" max="9415" width="9.140625" style="1"/>
    <col min="9416" max="9416" width="7.42578125" style="1" customWidth="1"/>
    <col min="9417" max="9417" width="8.7109375" style="1" customWidth="1"/>
    <col min="9418" max="9418" width="11.5703125" style="1" customWidth="1"/>
    <col min="9419" max="9657" width="9.140625" style="1"/>
    <col min="9658" max="9658" width="31.28515625" style="1" customWidth="1"/>
    <col min="9659" max="9659" width="9.85546875" style="1" customWidth="1"/>
    <col min="9660" max="9661" width="9.28515625" style="1" customWidth="1"/>
    <col min="9662" max="9664" width="9.140625" style="1"/>
    <col min="9665" max="9666" width="8.28515625" style="1" customWidth="1"/>
    <col min="9667" max="9667" width="9.140625" style="1" customWidth="1"/>
    <col min="9668" max="9669" width="9.140625" style="1"/>
    <col min="9670" max="9670" width="8.28515625" style="1" customWidth="1"/>
    <col min="9671" max="9671" width="9.140625" style="1"/>
    <col min="9672" max="9672" width="7.42578125" style="1" customWidth="1"/>
    <col min="9673" max="9673" width="8.7109375" style="1" customWidth="1"/>
    <col min="9674" max="9674" width="11.5703125" style="1" customWidth="1"/>
    <col min="9675" max="9913" width="9.140625" style="1"/>
    <col min="9914" max="9914" width="31.28515625" style="1" customWidth="1"/>
    <col min="9915" max="9915" width="9.85546875" style="1" customWidth="1"/>
    <col min="9916" max="9917" width="9.28515625" style="1" customWidth="1"/>
    <col min="9918" max="9920" width="9.140625" style="1"/>
    <col min="9921" max="9922" width="8.28515625" style="1" customWidth="1"/>
    <col min="9923" max="9923" width="9.140625" style="1" customWidth="1"/>
    <col min="9924" max="9925" width="9.140625" style="1"/>
    <col min="9926" max="9926" width="8.28515625" style="1" customWidth="1"/>
    <col min="9927" max="9927" width="9.140625" style="1"/>
    <col min="9928" max="9928" width="7.42578125" style="1" customWidth="1"/>
    <col min="9929" max="9929" width="8.7109375" style="1" customWidth="1"/>
    <col min="9930" max="9930" width="11.5703125" style="1" customWidth="1"/>
    <col min="9931" max="10169" width="9.140625" style="1"/>
    <col min="10170" max="10170" width="31.28515625" style="1" customWidth="1"/>
    <col min="10171" max="10171" width="9.85546875" style="1" customWidth="1"/>
    <col min="10172" max="10173" width="9.28515625" style="1" customWidth="1"/>
    <col min="10174" max="10176" width="9.140625" style="1"/>
    <col min="10177" max="10178" width="8.28515625" style="1" customWidth="1"/>
    <col min="10179" max="10179" width="9.140625" style="1" customWidth="1"/>
    <col min="10180" max="10181" width="9.140625" style="1"/>
    <col min="10182" max="10182" width="8.28515625" style="1" customWidth="1"/>
    <col min="10183" max="10183" width="9.140625" style="1"/>
    <col min="10184" max="10184" width="7.42578125" style="1" customWidth="1"/>
    <col min="10185" max="10185" width="8.7109375" style="1" customWidth="1"/>
    <col min="10186" max="10186" width="11.5703125" style="1" customWidth="1"/>
    <col min="10187" max="10425" width="9.140625" style="1"/>
    <col min="10426" max="10426" width="31.28515625" style="1" customWidth="1"/>
    <col min="10427" max="10427" width="9.85546875" style="1" customWidth="1"/>
    <col min="10428" max="10429" width="9.28515625" style="1" customWidth="1"/>
    <col min="10430" max="10432" width="9.140625" style="1"/>
    <col min="10433" max="10434" width="8.28515625" style="1" customWidth="1"/>
    <col min="10435" max="10435" width="9.140625" style="1" customWidth="1"/>
    <col min="10436" max="10437" width="9.140625" style="1"/>
    <col min="10438" max="10438" width="8.28515625" style="1" customWidth="1"/>
    <col min="10439" max="10439" width="9.140625" style="1"/>
    <col min="10440" max="10440" width="7.42578125" style="1" customWidth="1"/>
    <col min="10441" max="10441" width="8.7109375" style="1" customWidth="1"/>
    <col min="10442" max="10442" width="11.5703125" style="1" customWidth="1"/>
    <col min="10443" max="10681" width="9.140625" style="1"/>
    <col min="10682" max="10682" width="31.28515625" style="1" customWidth="1"/>
    <col min="10683" max="10683" width="9.85546875" style="1" customWidth="1"/>
    <col min="10684" max="10685" width="9.28515625" style="1" customWidth="1"/>
    <col min="10686" max="10688" width="9.140625" style="1"/>
    <col min="10689" max="10690" width="8.28515625" style="1" customWidth="1"/>
    <col min="10691" max="10691" width="9.140625" style="1" customWidth="1"/>
    <col min="10692" max="10693" width="9.140625" style="1"/>
    <col min="10694" max="10694" width="8.28515625" style="1" customWidth="1"/>
    <col min="10695" max="10695" width="9.140625" style="1"/>
    <col min="10696" max="10696" width="7.42578125" style="1" customWidth="1"/>
    <col min="10697" max="10697" width="8.7109375" style="1" customWidth="1"/>
    <col min="10698" max="10698" width="11.5703125" style="1" customWidth="1"/>
    <col min="10699" max="10937" width="9.140625" style="1"/>
    <col min="10938" max="10938" width="31.28515625" style="1" customWidth="1"/>
    <col min="10939" max="10939" width="9.85546875" style="1" customWidth="1"/>
    <col min="10940" max="10941" width="9.28515625" style="1" customWidth="1"/>
    <col min="10942" max="10944" width="9.140625" style="1"/>
    <col min="10945" max="10946" width="8.28515625" style="1" customWidth="1"/>
    <col min="10947" max="10947" width="9.140625" style="1" customWidth="1"/>
    <col min="10948" max="10949" width="9.140625" style="1"/>
    <col min="10950" max="10950" width="8.28515625" style="1" customWidth="1"/>
    <col min="10951" max="10951" width="9.140625" style="1"/>
    <col min="10952" max="10952" width="7.42578125" style="1" customWidth="1"/>
    <col min="10953" max="10953" width="8.7109375" style="1" customWidth="1"/>
    <col min="10954" max="10954" width="11.5703125" style="1" customWidth="1"/>
    <col min="10955" max="11193" width="9.140625" style="1"/>
    <col min="11194" max="11194" width="31.28515625" style="1" customWidth="1"/>
    <col min="11195" max="11195" width="9.85546875" style="1" customWidth="1"/>
    <col min="11196" max="11197" width="9.28515625" style="1" customWidth="1"/>
    <col min="11198" max="11200" width="9.140625" style="1"/>
    <col min="11201" max="11202" width="8.28515625" style="1" customWidth="1"/>
    <col min="11203" max="11203" width="9.140625" style="1" customWidth="1"/>
    <col min="11204" max="11205" width="9.140625" style="1"/>
    <col min="11206" max="11206" width="8.28515625" style="1" customWidth="1"/>
    <col min="11207" max="11207" width="9.140625" style="1"/>
    <col min="11208" max="11208" width="7.42578125" style="1" customWidth="1"/>
    <col min="11209" max="11209" width="8.7109375" style="1" customWidth="1"/>
    <col min="11210" max="11210" width="11.5703125" style="1" customWidth="1"/>
    <col min="11211" max="11449" width="9.140625" style="1"/>
    <col min="11450" max="11450" width="31.28515625" style="1" customWidth="1"/>
    <col min="11451" max="11451" width="9.85546875" style="1" customWidth="1"/>
    <col min="11452" max="11453" width="9.28515625" style="1" customWidth="1"/>
    <col min="11454" max="11456" width="9.140625" style="1"/>
    <col min="11457" max="11458" width="8.28515625" style="1" customWidth="1"/>
    <col min="11459" max="11459" width="9.140625" style="1" customWidth="1"/>
    <col min="11460" max="11461" width="9.140625" style="1"/>
    <col min="11462" max="11462" width="8.28515625" style="1" customWidth="1"/>
    <col min="11463" max="11463" width="9.140625" style="1"/>
    <col min="11464" max="11464" width="7.42578125" style="1" customWidth="1"/>
    <col min="11465" max="11465" width="8.7109375" style="1" customWidth="1"/>
    <col min="11466" max="11466" width="11.5703125" style="1" customWidth="1"/>
    <col min="11467" max="11705" width="9.140625" style="1"/>
    <col min="11706" max="11706" width="31.28515625" style="1" customWidth="1"/>
    <col min="11707" max="11707" width="9.85546875" style="1" customWidth="1"/>
    <col min="11708" max="11709" width="9.28515625" style="1" customWidth="1"/>
    <col min="11710" max="11712" width="9.140625" style="1"/>
    <col min="11713" max="11714" width="8.28515625" style="1" customWidth="1"/>
    <col min="11715" max="11715" width="9.140625" style="1" customWidth="1"/>
    <col min="11716" max="11717" width="9.140625" style="1"/>
    <col min="11718" max="11718" width="8.28515625" style="1" customWidth="1"/>
    <col min="11719" max="11719" width="9.140625" style="1"/>
    <col min="11720" max="11720" width="7.42578125" style="1" customWidth="1"/>
    <col min="11721" max="11721" width="8.7109375" style="1" customWidth="1"/>
    <col min="11722" max="11722" width="11.5703125" style="1" customWidth="1"/>
    <col min="11723" max="11961" width="9.140625" style="1"/>
    <col min="11962" max="11962" width="31.28515625" style="1" customWidth="1"/>
    <col min="11963" max="11963" width="9.85546875" style="1" customWidth="1"/>
    <col min="11964" max="11965" width="9.28515625" style="1" customWidth="1"/>
    <col min="11966" max="11968" width="9.140625" style="1"/>
    <col min="11969" max="11970" width="8.28515625" style="1" customWidth="1"/>
    <col min="11971" max="11971" width="9.140625" style="1" customWidth="1"/>
    <col min="11972" max="11973" width="9.140625" style="1"/>
    <col min="11974" max="11974" width="8.28515625" style="1" customWidth="1"/>
    <col min="11975" max="11975" width="9.140625" style="1"/>
    <col min="11976" max="11976" width="7.42578125" style="1" customWidth="1"/>
    <col min="11977" max="11977" width="8.7109375" style="1" customWidth="1"/>
    <col min="11978" max="11978" width="11.5703125" style="1" customWidth="1"/>
    <col min="11979" max="12217" width="9.140625" style="1"/>
    <col min="12218" max="12218" width="31.28515625" style="1" customWidth="1"/>
    <col min="12219" max="12219" width="9.85546875" style="1" customWidth="1"/>
    <col min="12220" max="12221" width="9.28515625" style="1" customWidth="1"/>
    <col min="12222" max="12224" width="9.140625" style="1"/>
    <col min="12225" max="12226" width="8.28515625" style="1" customWidth="1"/>
    <col min="12227" max="12227" width="9.140625" style="1" customWidth="1"/>
    <col min="12228" max="12229" width="9.140625" style="1"/>
    <col min="12230" max="12230" width="8.28515625" style="1" customWidth="1"/>
    <col min="12231" max="12231" width="9.140625" style="1"/>
    <col min="12232" max="12232" width="7.42578125" style="1" customWidth="1"/>
    <col min="12233" max="12233" width="8.7109375" style="1" customWidth="1"/>
    <col min="12234" max="12234" width="11.5703125" style="1" customWidth="1"/>
    <col min="12235" max="12473" width="9.140625" style="1"/>
    <col min="12474" max="12474" width="31.28515625" style="1" customWidth="1"/>
    <col min="12475" max="12475" width="9.85546875" style="1" customWidth="1"/>
    <col min="12476" max="12477" width="9.28515625" style="1" customWidth="1"/>
    <col min="12478" max="12480" width="9.140625" style="1"/>
    <col min="12481" max="12482" width="8.28515625" style="1" customWidth="1"/>
    <col min="12483" max="12483" width="9.140625" style="1" customWidth="1"/>
    <col min="12484" max="12485" width="9.140625" style="1"/>
    <col min="12486" max="12486" width="8.28515625" style="1" customWidth="1"/>
    <col min="12487" max="12487" width="9.140625" style="1"/>
    <col min="12488" max="12488" width="7.42578125" style="1" customWidth="1"/>
    <col min="12489" max="12489" width="8.7109375" style="1" customWidth="1"/>
    <col min="12490" max="12490" width="11.5703125" style="1" customWidth="1"/>
    <col min="12491" max="12729" width="9.140625" style="1"/>
    <col min="12730" max="12730" width="31.28515625" style="1" customWidth="1"/>
    <col min="12731" max="12731" width="9.85546875" style="1" customWidth="1"/>
    <col min="12732" max="12733" width="9.28515625" style="1" customWidth="1"/>
    <col min="12734" max="12736" width="9.140625" style="1"/>
    <col min="12737" max="12738" width="8.28515625" style="1" customWidth="1"/>
    <col min="12739" max="12739" width="9.140625" style="1" customWidth="1"/>
    <col min="12740" max="12741" width="9.140625" style="1"/>
    <col min="12742" max="12742" width="8.28515625" style="1" customWidth="1"/>
    <col min="12743" max="12743" width="9.140625" style="1"/>
    <col min="12744" max="12744" width="7.42578125" style="1" customWidth="1"/>
    <col min="12745" max="12745" width="8.7109375" style="1" customWidth="1"/>
    <col min="12746" max="12746" width="11.5703125" style="1" customWidth="1"/>
    <col min="12747" max="12985" width="9.140625" style="1"/>
    <col min="12986" max="12986" width="31.28515625" style="1" customWidth="1"/>
    <col min="12987" max="12987" width="9.85546875" style="1" customWidth="1"/>
    <col min="12988" max="12989" width="9.28515625" style="1" customWidth="1"/>
    <col min="12990" max="12992" width="9.140625" style="1"/>
    <col min="12993" max="12994" width="8.28515625" style="1" customWidth="1"/>
    <col min="12995" max="12995" width="9.140625" style="1" customWidth="1"/>
    <col min="12996" max="12997" width="9.140625" style="1"/>
    <col min="12998" max="12998" width="8.28515625" style="1" customWidth="1"/>
    <col min="12999" max="12999" width="9.140625" style="1"/>
    <col min="13000" max="13000" width="7.42578125" style="1" customWidth="1"/>
    <col min="13001" max="13001" width="8.7109375" style="1" customWidth="1"/>
    <col min="13002" max="13002" width="11.5703125" style="1" customWidth="1"/>
    <col min="13003" max="13241" width="9.140625" style="1"/>
    <col min="13242" max="13242" width="31.28515625" style="1" customWidth="1"/>
    <col min="13243" max="13243" width="9.85546875" style="1" customWidth="1"/>
    <col min="13244" max="13245" width="9.28515625" style="1" customWidth="1"/>
    <col min="13246" max="13248" width="9.140625" style="1"/>
    <col min="13249" max="13250" width="8.28515625" style="1" customWidth="1"/>
    <col min="13251" max="13251" width="9.140625" style="1" customWidth="1"/>
    <col min="13252" max="13253" width="9.140625" style="1"/>
    <col min="13254" max="13254" width="8.28515625" style="1" customWidth="1"/>
    <col min="13255" max="13255" width="9.140625" style="1"/>
    <col min="13256" max="13256" width="7.42578125" style="1" customWidth="1"/>
    <col min="13257" max="13257" width="8.7109375" style="1" customWidth="1"/>
    <col min="13258" max="13258" width="11.5703125" style="1" customWidth="1"/>
    <col min="13259" max="13497" width="9.140625" style="1"/>
    <col min="13498" max="13498" width="31.28515625" style="1" customWidth="1"/>
    <col min="13499" max="13499" width="9.85546875" style="1" customWidth="1"/>
    <col min="13500" max="13501" width="9.28515625" style="1" customWidth="1"/>
    <col min="13502" max="13504" width="9.140625" style="1"/>
    <col min="13505" max="13506" width="8.28515625" style="1" customWidth="1"/>
    <col min="13507" max="13507" width="9.140625" style="1" customWidth="1"/>
    <col min="13508" max="13509" width="9.140625" style="1"/>
    <col min="13510" max="13510" width="8.28515625" style="1" customWidth="1"/>
    <col min="13511" max="13511" width="9.140625" style="1"/>
    <col min="13512" max="13512" width="7.42578125" style="1" customWidth="1"/>
    <col min="13513" max="13513" width="8.7109375" style="1" customWidth="1"/>
    <col min="13514" max="13514" width="11.5703125" style="1" customWidth="1"/>
    <col min="13515" max="13753" width="9.140625" style="1"/>
    <col min="13754" max="13754" width="31.28515625" style="1" customWidth="1"/>
    <col min="13755" max="13755" width="9.85546875" style="1" customWidth="1"/>
    <col min="13756" max="13757" width="9.28515625" style="1" customWidth="1"/>
    <col min="13758" max="13760" width="9.140625" style="1"/>
    <col min="13761" max="13762" width="8.28515625" style="1" customWidth="1"/>
    <col min="13763" max="13763" width="9.140625" style="1" customWidth="1"/>
    <col min="13764" max="13765" width="9.140625" style="1"/>
    <col min="13766" max="13766" width="8.28515625" style="1" customWidth="1"/>
    <col min="13767" max="13767" width="9.140625" style="1"/>
    <col min="13768" max="13768" width="7.42578125" style="1" customWidth="1"/>
    <col min="13769" max="13769" width="8.7109375" style="1" customWidth="1"/>
    <col min="13770" max="13770" width="11.5703125" style="1" customWidth="1"/>
    <col min="13771" max="14009" width="9.140625" style="1"/>
    <col min="14010" max="14010" width="31.28515625" style="1" customWidth="1"/>
    <col min="14011" max="14011" width="9.85546875" style="1" customWidth="1"/>
    <col min="14012" max="14013" width="9.28515625" style="1" customWidth="1"/>
    <col min="14014" max="14016" width="9.140625" style="1"/>
    <col min="14017" max="14018" width="8.28515625" style="1" customWidth="1"/>
    <col min="14019" max="14019" width="9.140625" style="1" customWidth="1"/>
    <col min="14020" max="14021" width="9.140625" style="1"/>
    <col min="14022" max="14022" width="8.28515625" style="1" customWidth="1"/>
    <col min="14023" max="14023" width="9.140625" style="1"/>
    <col min="14024" max="14024" width="7.42578125" style="1" customWidth="1"/>
    <col min="14025" max="14025" width="8.7109375" style="1" customWidth="1"/>
    <col min="14026" max="14026" width="11.5703125" style="1" customWidth="1"/>
    <col min="14027" max="14265" width="9.140625" style="1"/>
    <col min="14266" max="14266" width="31.28515625" style="1" customWidth="1"/>
    <col min="14267" max="14267" width="9.85546875" style="1" customWidth="1"/>
    <col min="14268" max="14269" width="9.28515625" style="1" customWidth="1"/>
    <col min="14270" max="14272" width="9.140625" style="1"/>
    <col min="14273" max="14274" width="8.28515625" style="1" customWidth="1"/>
    <col min="14275" max="14275" width="9.140625" style="1" customWidth="1"/>
    <col min="14276" max="14277" width="9.140625" style="1"/>
    <col min="14278" max="14278" width="8.28515625" style="1" customWidth="1"/>
    <col min="14279" max="14279" width="9.140625" style="1"/>
    <col min="14280" max="14280" width="7.42578125" style="1" customWidth="1"/>
    <col min="14281" max="14281" width="8.7109375" style="1" customWidth="1"/>
    <col min="14282" max="14282" width="11.5703125" style="1" customWidth="1"/>
    <col min="14283" max="14521" width="9.140625" style="1"/>
    <col min="14522" max="14522" width="31.28515625" style="1" customWidth="1"/>
    <col min="14523" max="14523" width="9.85546875" style="1" customWidth="1"/>
    <col min="14524" max="14525" width="9.28515625" style="1" customWidth="1"/>
    <col min="14526" max="14528" width="9.140625" style="1"/>
    <col min="14529" max="14530" width="8.28515625" style="1" customWidth="1"/>
    <col min="14531" max="14531" width="9.140625" style="1" customWidth="1"/>
    <col min="14532" max="14533" width="9.140625" style="1"/>
    <col min="14534" max="14534" width="8.28515625" style="1" customWidth="1"/>
    <col min="14535" max="14535" width="9.140625" style="1"/>
    <col min="14536" max="14536" width="7.42578125" style="1" customWidth="1"/>
    <col min="14537" max="14537" width="8.7109375" style="1" customWidth="1"/>
    <col min="14538" max="14538" width="11.5703125" style="1" customWidth="1"/>
    <col min="14539" max="14777" width="9.140625" style="1"/>
    <col min="14778" max="14778" width="31.28515625" style="1" customWidth="1"/>
    <col min="14779" max="14779" width="9.85546875" style="1" customWidth="1"/>
    <col min="14780" max="14781" width="9.28515625" style="1" customWidth="1"/>
    <col min="14782" max="14784" width="9.140625" style="1"/>
    <col min="14785" max="14786" width="8.28515625" style="1" customWidth="1"/>
    <col min="14787" max="14787" width="9.140625" style="1" customWidth="1"/>
    <col min="14788" max="14789" width="9.140625" style="1"/>
    <col min="14790" max="14790" width="8.28515625" style="1" customWidth="1"/>
    <col min="14791" max="14791" width="9.140625" style="1"/>
    <col min="14792" max="14792" width="7.42578125" style="1" customWidth="1"/>
    <col min="14793" max="14793" width="8.7109375" style="1" customWidth="1"/>
    <col min="14794" max="14794" width="11.5703125" style="1" customWidth="1"/>
    <col min="14795" max="15033" width="9.140625" style="1"/>
    <col min="15034" max="15034" width="31.28515625" style="1" customWidth="1"/>
    <col min="15035" max="15035" width="9.85546875" style="1" customWidth="1"/>
    <col min="15036" max="15037" width="9.28515625" style="1" customWidth="1"/>
    <col min="15038" max="15040" width="9.140625" style="1"/>
    <col min="15041" max="15042" width="8.28515625" style="1" customWidth="1"/>
    <col min="15043" max="15043" width="9.140625" style="1" customWidth="1"/>
    <col min="15044" max="15045" width="9.140625" style="1"/>
    <col min="15046" max="15046" width="8.28515625" style="1" customWidth="1"/>
    <col min="15047" max="15047" width="9.140625" style="1"/>
    <col min="15048" max="15048" width="7.42578125" style="1" customWidth="1"/>
    <col min="15049" max="15049" width="8.7109375" style="1" customWidth="1"/>
    <col min="15050" max="15050" width="11.5703125" style="1" customWidth="1"/>
    <col min="15051" max="15289" width="9.140625" style="1"/>
    <col min="15290" max="15290" width="31.28515625" style="1" customWidth="1"/>
    <col min="15291" max="15291" width="9.85546875" style="1" customWidth="1"/>
    <col min="15292" max="15293" width="9.28515625" style="1" customWidth="1"/>
    <col min="15294" max="15296" width="9.140625" style="1"/>
    <col min="15297" max="15298" width="8.28515625" style="1" customWidth="1"/>
    <col min="15299" max="15299" width="9.140625" style="1" customWidth="1"/>
    <col min="15300" max="15301" width="9.140625" style="1"/>
    <col min="15302" max="15302" width="8.28515625" style="1" customWidth="1"/>
    <col min="15303" max="15303" width="9.140625" style="1"/>
    <col min="15304" max="15304" width="7.42578125" style="1" customWidth="1"/>
    <col min="15305" max="15305" width="8.7109375" style="1" customWidth="1"/>
    <col min="15306" max="15306" width="11.5703125" style="1" customWidth="1"/>
    <col min="15307" max="15545" width="9.140625" style="1"/>
    <col min="15546" max="15546" width="31.28515625" style="1" customWidth="1"/>
    <col min="15547" max="15547" width="9.85546875" style="1" customWidth="1"/>
    <col min="15548" max="15549" width="9.28515625" style="1" customWidth="1"/>
    <col min="15550" max="15552" width="9.140625" style="1"/>
    <col min="15553" max="15554" width="8.28515625" style="1" customWidth="1"/>
    <col min="15555" max="15555" width="9.140625" style="1" customWidth="1"/>
    <col min="15556" max="15557" width="9.140625" style="1"/>
    <col min="15558" max="15558" width="8.28515625" style="1" customWidth="1"/>
    <col min="15559" max="15559" width="9.140625" style="1"/>
    <col min="15560" max="15560" width="7.42578125" style="1" customWidth="1"/>
    <col min="15561" max="15561" width="8.7109375" style="1" customWidth="1"/>
    <col min="15562" max="15562" width="11.5703125" style="1" customWidth="1"/>
    <col min="15563" max="15801" width="9.140625" style="1"/>
    <col min="15802" max="15802" width="31.28515625" style="1" customWidth="1"/>
    <col min="15803" max="15803" width="9.85546875" style="1" customWidth="1"/>
    <col min="15804" max="15805" width="9.28515625" style="1" customWidth="1"/>
    <col min="15806" max="15808" width="9.140625" style="1"/>
    <col min="15809" max="15810" width="8.28515625" style="1" customWidth="1"/>
    <col min="15811" max="15811" width="9.140625" style="1" customWidth="1"/>
    <col min="15812" max="15813" width="9.140625" style="1"/>
    <col min="15814" max="15814" width="8.28515625" style="1" customWidth="1"/>
    <col min="15815" max="15815" width="9.140625" style="1"/>
    <col min="15816" max="15816" width="7.42578125" style="1" customWidth="1"/>
    <col min="15817" max="15817" width="8.7109375" style="1" customWidth="1"/>
    <col min="15818" max="15818" width="11.5703125" style="1" customWidth="1"/>
    <col min="15819" max="16384" width="9.140625" style="1"/>
  </cols>
  <sheetData>
    <row r="1" spans="1:14" ht="20.25" customHeight="1">
      <c r="A1" s="475" t="s">
        <v>274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4" ht="24.75" customHeight="1" thickBot="1">
      <c r="A2" s="21"/>
      <c r="B2" s="21"/>
      <c r="C2" s="21"/>
      <c r="D2" s="21"/>
      <c r="E2" s="196"/>
      <c r="F2" s="22"/>
      <c r="G2" s="22"/>
      <c r="H2" s="22"/>
      <c r="I2" s="22"/>
      <c r="J2" s="22"/>
      <c r="K2" s="22"/>
      <c r="L2" s="22"/>
      <c r="M2" s="23" t="s">
        <v>2</v>
      </c>
    </row>
    <row r="3" spans="1:14" ht="24" customHeight="1">
      <c r="A3" s="487" t="s">
        <v>24</v>
      </c>
      <c r="B3" s="489" t="s">
        <v>25</v>
      </c>
      <c r="C3" s="489"/>
      <c r="D3" s="490"/>
      <c r="E3" s="490"/>
      <c r="F3" s="492" t="s">
        <v>164</v>
      </c>
      <c r="G3" s="492"/>
      <c r="H3" s="492"/>
      <c r="I3" s="492"/>
      <c r="J3" s="492"/>
      <c r="K3" s="492"/>
      <c r="L3" s="492"/>
      <c r="M3" s="493"/>
    </row>
    <row r="4" spans="1:14" ht="12.75" customHeight="1">
      <c r="A4" s="488"/>
      <c r="B4" s="491"/>
      <c r="C4" s="491"/>
      <c r="D4" s="491"/>
      <c r="E4" s="491"/>
      <c r="F4" s="494"/>
      <c r="G4" s="494"/>
      <c r="H4" s="494"/>
      <c r="I4" s="494"/>
      <c r="J4" s="494"/>
      <c r="K4" s="494"/>
      <c r="L4" s="494"/>
      <c r="M4" s="495"/>
    </row>
    <row r="5" spans="1:14" ht="38.25" customHeight="1">
      <c r="A5" s="488"/>
      <c r="B5" s="335" t="s">
        <v>216</v>
      </c>
      <c r="C5" s="335" t="s">
        <v>215</v>
      </c>
      <c r="D5" s="335" t="s">
        <v>21</v>
      </c>
      <c r="E5" s="330" t="s">
        <v>30</v>
      </c>
      <c r="F5" s="331" t="s">
        <v>26</v>
      </c>
      <c r="G5" s="331" t="s">
        <v>22</v>
      </c>
      <c r="H5" s="331" t="s">
        <v>27</v>
      </c>
      <c r="I5" s="334" t="s">
        <v>28</v>
      </c>
      <c r="J5" s="334" t="s">
        <v>218</v>
      </c>
      <c r="K5" s="331" t="s">
        <v>217</v>
      </c>
      <c r="L5" s="331" t="s">
        <v>63</v>
      </c>
      <c r="M5" s="332" t="s">
        <v>29</v>
      </c>
    </row>
    <row r="6" spans="1:14" s="24" customFormat="1" ht="32.25" customHeight="1">
      <c r="A6" s="177" t="s">
        <v>199</v>
      </c>
      <c r="B6" s="186">
        <f t="shared" ref="B6:M6" si="0">B7+B13+B15</f>
        <v>309478</v>
      </c>
      <c r="C6" s="186">
        <f t="shared" si="0"/>
        <v>190404</v>
      </c>
      <c r="D6" s="186">
        <f t="shared" si="0"/>
        <v>437830</v>
      </c>
      <c r="E6" s="186">
        <f t="shared" si="0"/>
        <v>937712</v>
      </c>
      <c r="F6" s="186">
        <f t="shared" si="0"/>
        <v>211666</v>
      </c>
      <c r="G6" s="186">
        <f t="shared" si="0"/>
        <v>48338</v>
      </c>
      <c r="H6" s="186">
        <f t="shared" si="0"/>
        <v>829580</v>
      </c>
      <c r="I6" s="186">
        <f t="shared" si="0"/>
        <v>1749</v>
      </c>
      <c r="J6" s="186">
        <f t="shared" si="0"/>
        <v>0</v>
      </c>
      <c r="K6" s="186">
        <f t="shared" si="0"/>
        <v>15538</v>
      </c>
      <c r="L6" s="186">
        <f t="shared" si="0"/>
        <v>99460</v>
      </c>
      <c r="M6" s="250">
        <f t="shared" si="0"/>
        <v>1206331</v>
      </c>
      <c r="N6" s="273"/>
    </row>
    <row r="7" spans="1:14" s="185" customFormat="1" ht="20.100000000000001" customHeight="1">
      <c r="A7" s="239" t="s">
        <v>222</v>
      </c>
      <c r="B7" s="245">
        <f t="shared" ref="B7:H7" si="1">B8+B9+B12</f>
        <v>309478</v>
      </c>
      <c r="C7" s="245">
        <f t="shared" si="1"/>
        <v>76754</v>
      </c>
      <c r="D7" s="245">
        <f t="shared" si="1"/>
        <v>437830</v>
      </c>
      <c r="E7" s="245">
        <f t="shared" si="1"/>
        <v>824062</v>
      </c>
      <c r="F7" s="245">
        <f t="shared" si="1"/>
        <v>125884</v>
      </c>
      <c r="G7" s="245">
        <f t="shared" si="1"/>
        <v>28258</v>
      </c>
      <c r="H7" s="245">
        <f t="shared" si="1"/>
        <v>823541</v>
      </c>
      <c r="I7" s="245">
        <v>0</v>
      </c>
      <c r="J7" s="245">
        <f>J8+J9+J12</f>
        <v>0</v>
      </c>
      <c r="K7" s="245">
        <f>K8+K9+K12</f>
        <v>15538</v>
      </c>
      <c r="L7" s="245">
        <f>L8+L9+L12</f>
        <v>99460</v>
      </c>
      <c r="M7" s="252">
        <f>M8+M9+M12</f>
        <v>1092681</v>
      </c>
      <c r="N7" s="273"/>
    </row>
    <row r="8" spans="1:14" ht="20.100000000000001" customHeight="1">
      <c r="A8" s="26" t="s">
        <v>257</v>
      </c>
      <c r="B8" s="191">
        <v>254374</v>
      </c>
      <c r="C8" s="191"/>
      <c r="D8" s="191">
        <f>429480</f>
        <v>429480</v>
      </c>
      <c r="E8" s="261">
        <f>+B8+C8+D8</f>
        <v>683854</v>
      </c>
      <c r="F8" s="236">
        <v>46556</v>
      </c>
      <c r="G8" s="236">
        <v>9948</v>
      </c>
      <c r="H8" s="236">
        <f>[9]Kiadások!$F$53</f>
        <v>794178</v>
      </c>
      <c r="I8" s="262">
        <f>[9]Kiadások!$F$56</f>
        <v>0</v>
      </c>
      <c r="J8" s="262"/>
      <c r="K8" s="236">
        <f>[9]Kiadások!$F$67</f>
        <v>2731</v>
      </c>
      <c r="L8" s="236">
        <f>[9]Kiadások!$F$72</f>
        <v>99060</v>
      </c>
      <c r="M8" s="256">
        <f>+F8+G8+H8+I8+K8+L8</f>
        <v>952473</v>
      </c>
      <c r="N8" s="273"/>
    </row>
    <row r="9" spans="1:14" s="185" customFormat="1" ht="20.100000000000001" customHeight="1">
      <c r="A9" s="333" t="s">
        <v>258</v>
      </c>
      <c r="B9" s="245"/>
      <c r="C9" s="245">
        <f t="shared" ref="C9:M9" si="2">C10+C11</f>
        <v>76754</v>
      </c>
      <c r="D9" s="245">
        <f t="shared" si="2"/>
        <v>1900</v>
      </c>
      <c r="E9" s="245">
        <f t="shared" si="2"/>
        <v>78654</v>
      </c>
      <c r="F9" s="245">
        <f t="shared" si="2"/>
        <v>49447</v>
      </c>
      <c r="G9" s="245">
        <f t="shared" si="2"/>
        <v>11328</v>
      </c>
      <c r="H9" s="245">
        <f t="shared" si="2"/>
        <v>14832</v>
      </c>
      <c r="I9" s="245">
        <f t="shared" si="2"/>
        <v>0</v>
      </c>
      <c r="J9" s="245">
        <f t="shared" si="2"/>
        <v>0</v>
      </c>
      <c r="K9" s="245">
        <f t="shared" si="2"/>
        <v>2647</v>
      </c>
      <c r="L9" s="245">
        <f t="shared" si="2"/>
        <v>400</v>
      </c>
      <c r="M9" s="252">
        <f t="shared" si="2"/>
        <v>78654</v>
      </c>
      <c r="N9" s="273"/>
    </row>
    <row r="10" spans="1:14" ht="20.100000000000001" customHeight="1">
      <c r="A10" s="333" t="s">
        <v>256</v>
      </c>
      <c r="B10" s="182"/>
      <c r="C10" s="191">
        <v>8522</v>
      </c>
      <c r="D10" s="182"/>
      <c r="E10" s="195">
        <f>SUM(B10:D10)</f>
        <v>8522</v>
      </c>
      <c r="F10" s="183">
        <v>5440</v>
      </c>
      <c r="G10" s="183">
        <v>1237</v>
      </c>
      <c r="H10" s="183">
        <v>1160</v>
      </c>
      <c r="I10" s="184"/>
      <c r="J10" s="184"/>
      <c r="K10" s="183">
        <v>285</v>
      </c>
      <c r="L10" s="183">
        <v>400</v>
      </c>
      <c r="M10" s="251">
        <f t="shared" ref="M10:M29" si="3">+F10+G10+H10+I10+K10+L10</f>
        <v>8522</v>
      </c>
      <c r="N10" s="273"/>
    </row>
    <row r="11" spans="1:14" ht="20.100000000000001" customHeight="1">
      <c r="A11" s="333" t="s">
        <v>228</v>
      </c>
      <c r="B11" s="182"/>
      <c r="C11" s="191">
        <f>70132-1900</f>
        <v>68232</v>
      </c>
      <c r="D11" s="182">
        <v>1900</v>
      </c>
      <c r="E11" s="195">
        <f>SUM(B11:D11)</f>
        <v>70132</v>
      </c>
      <c r="F11" s="183">
        <v>44007</v>
      </c>
      <c r="G11" s="183">
        <v>10091</v>
      </c>
      <c r="H11" s="183">
        <v>13672</v>
      </c>
      <c r="I11" s="184"/>
      <c r="J11" s="184"/>
      <c r="K11" s="183">
        <v>2362</v>
      </c>
      <c r="L11" s="183"/>
      <c r="M11" s="251">
        <f>SUM(F11:L11)</f>
        <v>70132</v>
      </c>
      <c r="N11" s="273"/>
    </row>
    <row r="12" spans="1:14" ht="20.100000000000001" customHeight="1">
      <c r="A12" s="333" t="s">
        <v>259</v>
      </c>
      <c r="B12" s="179">
        <v>55104</v>
      </c>
      <c r="C12" s="178"/>
      <c r="D12" s="179">
        <v>6450</v>
      </c>
      <c r="E12" s="195">
        <f t="shared" ref="E12:E29" si="4">+B12+C12+D12</f>
        <v>61554</v>
      </c>
      <c r="F12" s="178">
        <f>[1]Gépmúzeum!$F$57</f>
        <v>29881</v>
      </c>
      <c r="G12" s="178">
        <f>[1]Gépmúzeum!$F$60</f>
        <v>6982</v>
      </c>
      <c r="H12" s="178">
        <f>[1]Gépmúzeum!$F$85</f>
        <v>14531</v>
      </c>
      <c r="I12" s="178"/>
      <c r="J12" s="178"/>
      <c r="K12" s="178">
        <f>[1]Gépmúzeum!$F$99</f>
        <v>10160</v>
      </c>
      <c r="L12" s="178"/>
      <c r="M12" s="251">
        <f t="shared" si="3"/>
        <v>61554</v>
      </c>
      <c r="N12" s="273"/>
    </row>
    <row r="13" spans="1:14" s="185" customFormat="1" ht="20.100000000000001" customHeight="1">
      <c r="A13" s="240" t="s">
        <v>253</v>
      </c>
      <c r="B13" s="193"/>
      <c r="C13" s="242">
        <v>92270</v>
      </c>
      <c r="D13" s="241"/>
      <c r="E13" s="243">
        <f t="shared" ref="E13" si="5">+B13+C13+D13</f>
        <v>92270</v>
      </c>
      <c r="F13" s="241">
        <f>[10]Kiadások!$F$25</f>
        <v>70182</v>
      </c>
      <c r="G13" s="241">
        <f>[10]Kiadások!$F$28</f>
        <v>16684</v>
      </c>
      <c r="H13" s="241">
        <f>[10]Kiadások!$F$53</f>
        <v>5404</v>
      </c>
      <c r="I13" s="241"/>
      <c r="J13" s="241"/>
      <c r="K13" s="241"/>
      <c r="L13" s="241"/>
      <c r="M13" s="254">
        <f t="shared" ref="M13" si="6">+F13+G13+H13+I13+K13+L13</f>
        <v>92270</v>
      </c>
      <c r="N13" s="273"/>
    </row>
    <row r="14" spans="1:14" ht="20.100000000000001" customHeight="1">
      <c r="A14" s="25" t="s">
        <v>260</v>
      </c>
      <c r="B14" s="179"/>
      <c r="C14" s="178">
        <v>92270</v>
      </c>
      <c r="D14" s="179"/>
      <c r="E14" s="195">
        <f t="shared" si="4"/>
        <v>92270</v>
      </c>
      <c r="F14" s="179">
        <f>[10]Kiadások!$F$25</f>
        <v>70182</v>
      </c>
      <c r="G14" s="179">
        <f>[10]Kiadások!$F$28</f>
        <v>16684</v>
      </c>
      <c r="H14" s="179">
        <f>[10]Kiadások!$F$53</f>
        <v>5404</v>
      </c>
      <c r="I14" s="179"/>
      <c r="J14" s="179"/>
      <c r="K14" s="179"/>
      <c r="L14" s="179"/>
      <c r="M14" s="251">
        <f t="shared" si="3"/>
        <v>92270</v>
      </c>
      <c r="N14" s="273"/>
    </row>
    <row r="15" spans="1:14" s="246" customFormat="1" ht="20.100000000000001" customHeight="1">
      <c r="A15" s="239" t="s">
        <v>254</v>
      </c>
      <c r="B15" s="241"/>
      <c r="C15" s="242">
        <v>21380</v>
      </c>
      <c r="D15" s="277"/>
      <c r="E15" s="243">
        <v>21380</v>
      </c>
      <c r="F15" s="180">
        <v>15600</v>
      </c>
      <c r="G15" s="180">
        <v>3396</v>
      </c>
      <c r="H15" s="180">
        <v>635</v>
      </c>
      <c r="I15" s="180">
        <v>1749</v>
      </c>
      <c r="J15" s="180"/>
      <c r="K15" s="180"/>
      <c r="L15" s="180"/>
      <c r="M15" s="254">
        <f t="shared" si="3"/>
        <v>21380</v>
      </c>
      <c r="N15" s="273"/>
    </row>
    <row r="16" spans="1:14" s="70" customFormat="1" ht="20.100000000000001" customHeight="1">
      <c r="A16" s="26" t="s">
        <v>261</v>
      </c>
      <c r="B16" s="179"/>
      <c r="C16" s="178">
        <v>21380</v>
      </c>
      <c r="D16" s="179"/>
      <c r="E16" s="195">
        <v>21380</v>
      </c>
      <c r="F16" s="180">
        <v>15600</v>
      </c>
      <c r="G16" s="180">
        <v>3396</v>
      </c>
      <c r="H16" s="180">
        <v>635</v>
      </c>
      <c r="I16" s="180">
        <v>1749</v>
      </c>
      <c r="J16" s="180"/>
      <c r="K16" s="180"/>
      <c r="L16" s="180"/>
      <c r="M16" s="251">
        <v>21380</v>
      </c>
      <c r="N16" s="273"/>
    </row>
    <row r="17" spans="1:14" s="189" customFormat="1" ht="29.25" customHeight="1">
      <c r="A17" s="187" t="s">
        <v>205</v>
      </c>
      <c r="B17" s="188">
        <f t="shared" ref="B17:M17" si="7">B18+B28+B29</f>
        <v>12200</v>
      </c>
      <c r="C17" s="188">
        <f t="shared" si="7"/>
        <v>655076</v>
      </c>
      <c r="D17" s="188">
        <f t="shared" si="7"/>
        <v>3278</v>
      </c>
      <c r="E17" s="188">
        <f t="shared" si="7"/>
        <v>670554</v>
      </c>
      <c r="F17" s="188">
        <f t="shared" si="7"/>
        <v>204493.2</v>
      </c>
      <c r="G17" s="188">
        <f t="shared" si="7"/>
        <v>47000</v>
      </c>
      <c r="H17" s="188">
        <f t="shared" si="7"/>
        <v>343773.21899999998</v>
      </c>
      <c r="I17" s="188">
        <f t="shared" si="7"/>
        <v>0</v>
      </c>
      <c r="J17" s="188">
        <f t="shared" si="7"/>
        <v>0</v>
      </c>
      <c r="K17" s="188">
        <f t="shared" si="7"/>
        <v>2585</v>
      </c>
      <c r="L17" s="188">
        <f t="shared" si="7"/>
        <v>72703</v>
      </c>
      <c r="M17" s="255">
        <f t="shared" si="7"/>
        <v>670554.41899999999</v>
      </c>
      <c r="N17" s="273"/>
    </row>
    <row r="18" spans="1:14" s="244" customFormat="1" ht="20.100000000000001" customHeight="1">
      <c r="A18" s="247" t="s">
        <v>210</v>
      </c>
      <c r="B18" s="241">
        <f t="shared" ref="B18:L18" si="8">B19+B20+B21+B22+B23+B24+B25+B26+B27</f>
        <v>2200</v>
      </c>
      <c r="C18" s="241">
        <f t="shared" si="8"/>
        <v>604127</v>
      </c>
      <c r="D18" s="241">
        <f t="shared" si="8"/>
        <v>2748</v>
      </c>
      <c r="E18" s="241">
        <f t="shared" si="8"/>
        <v>609075</v>
      </c>
      <c r="F18" s="241">
        <f t="shared" si="8"/>
        <v>178380.2</v>
      </c>
      <c r="G18" s="241">
        <f t="shared" si="8"/>
        <v>41274</v>
      </c>
      <c r="H18" s="241">
        <f>H19+H20+H21+H22+H23+H24+H25+H26+H27+1</f>
        <v>315695.21899999998</v>
      </c>
      <c r="I18" s="241">
        <f t="shared" si="8"/>
        <v>0</v>
      </c>
      <c r="J18" s="241">
        <f t="shared" si="8"/>
        <v>0</v>
      </c>
      <c r="K18" s="241">
        <f t="shared" si="8"/>
        <v>1175</v>
      </c>
      <c r="L18" s="241">
        <f t="shared" si="8"/>
        <v>72551</v>
      </c>
      <c r="M18" s="278">
        <f>M19+M20+M21+M22+M23+M24+M25+M26+M27+1</f>
        <v>609075.41899999999</v>
      </c>
      <c r="N18" s="273"/>
    </row>
    <row r="19" spans="1:14" ht="20.100000000000001" customHeight="1">
      <c r="A19" s="29" t="s">
        <v>262</v>
      </c>
      <c r="B19" s="179"/>
      <c r="C19" s="179">
        <v>122676</v>
      </c>
      <c r="D19" s="179"/>
      <c r="E19" s="181">
        <f t="shared" si="4"/>
        <v>122676</v>
      </c>
      <c r="F19" s="179">
        <f>[11]Kiadások!$F$25</f>
        <v>64901</v>
      </c>
      <c r="G19" s="179">
        <f>[11]Kiadások!$F$28</f>
        <v>15084</v>
      </c>
      <c r="H19" s="179">
        <f>[11]Kiadások!$F$53</f>
        <v>42691</v>
      </c>
      <c r="I19" s="179"/>
      <c r="J19" s="179"/>
      <c r="K19" s="179"/>
      <c r="L19" s="179"/>
      <c r="M19" s="251">
        <f t="shared" si="3"/>
        <v>122676</v>
      </c>
      <c r="N19" s="273"/>
    </row>
    <row r="20" spans="1:14" ht="20.100000000000001" customHeight="1">
      <c r="A20" s="29" t="s">
        <v>263</v>
      </c>
      <c r="B20" s="179"/>
      <c r="C20" s="179">
        <f>311958-120000</f>
        <v>191958</v>
      </c>
      <c r="D20" s="179"/>
      <c r="E20" s="181">
        <f t="shared" si="4"/>
        <v>191958</v>
      </c>
      <c r="F20" s="179"/>
      <c r="G20" s="179"/>
      <c r="H20" s="179">
        <f>311958-120000</f>
        <v>191958</v>
      </c>
      <c r="I20" s="179"/>
      <c r="J20" s="179"/>
      <c r="K20" s="179"/>
      <c r="L20" s="179"/>
      <c r="M20" s="251">
        <f t="shared" si="3"/>
        <v>191958</v>
      </c>
      <c r="N20" s="273"/>
    </row>
    <row r="21" spans="1:14" ht="20.100000000000001" customHeight="1">
      <c r="A21" s="29" t="s">
        <v>264</v>
      </c>
      <c r="B21" s="179"/>
      <c r="C21" s="179">
        <v>111843</v>
      </c>
      <c r="D21" s="179"/>
      <c r="E21" s="181">
        <f t="shared" si="4"/>
        <v>111843</v>
      </c>
      <c r="F21" s="179">
        <f>[12]Kiadások!$F$25</f>
        <v>39302.199999999997</v>
      </c>
      <c r="G21" s="179">
        <f>[12]Kiadások!$F$28</f>
        <v>8838</v>
      </c>
      <c r="H21" s="179">
        <f>[12]Kiadások!$F$53</f>
        <v>62577.618999999999</v>
      </c>
      <c r="I21" s="179"/>
      <c r="J21" s="179"/>
      <c r="K21" s="179">
        <v>1125</v>
      </c>
      <c r="L21" s="179"/>
      <c r="M21" s="251">
        <f t="shared" si="3"/>
        <v>111842.81899999999</v>
      </c>
      <c r="N21" s="273"/>
    </row>
    <row r="22" spans="1:14" ht="20.100000000000001" customHeight="1">
      <c r="A22" s="29" t="s">
        <v>265</v>
      </c>
      <c r="B22" s="179">
        <v>2200</v>
      </c>
      <c r="C22" s="179"/>
      <c r="D22" s="179"/>
      <c r="E22" s="181">
        <f t="shared" si="4"/>
        <v>2200</v>
      </c>
      <c r="F22" s="179"/>
      <c r="G22" s="179"/>
      <c r="H22" s="179">
        <v>1700</v>
      </c>
      <c r="I22" s="179"/>
      <c r="J22" s="179"/>
      <c r="K22" s="179"/>
      <c r="L22" s="179">
        <v>500</v>
      </c>
      <c r="M22" s="251">
        <f>+F22+G22+H22+I22+K22+L22</f>
        <v>2200</v>
      </c>
      <c r="N22" s="273"/>
    </row>
    <row r="23" spans="1:14" ht="20.100000000000001" customHeight="1">
      <c r="A23" s="29" t="s">
        <v>266</v>
      </c>
      <c r="B23" s="179"/>
      <c r="C23" s="179">
        <v>66317</v>
      </c>
      <c r="D23" s="179"/>
      <c r="E23" s="181">
        <f t="shared" si="4"/>
        <v>66317</v>
      </c>
      <c r="F23" s="179">
        <f>[13]Kiadások!$F$25</f>
        <v>49235</v>
      </c>
      <c r="G23" s="179">
        <f>[13]Kiadások!$F$28</f>
        <v>11649</v>
      </c>
      <c r="H23" s="179">
        <f>[13]Kiadások!$F$53</f>
        <v>5433</v>
      </c>
      <c r="I23" s="179"/>
      <c r="J23" s="179"/>
      <c r="K23" s="179"/>
      <c r="L23" s="179"/>
      <c r="M23" s="251">
        <f>+F23+G23+H23+I23+K23+L23</f>
        <v>66317</v>
      </c>
      <c r="N23" s="273"/>
    </row>
    <row r="24" spans="1:14" ht="20.100000000000001" customHeight="1">
      <c r="A24" s="29" t="s">
        <v>267</v>
      </c>
      <c r="B24" s="179"/>
      <c r="C24" s="179">
        <v>19130</v>
      </c>
      <c r="D24" s="179"/>
      <c r="E24" s="181">
        <f t="shared" si="4"/>
        <v>19130</v>
      </c>
      <c r="F24" s="179">
        <f>[14]Kiadások!$F$25</f>
        <v>12817</v>
      </c>
      <c r="G24" s="179">
        <v>2937</v>
      </c>
      <c r="H24" s="179">
        <f>[14]Kiadások!$F$53</f>
        <v>3326</v>
      </c>
      <c r="I24" s="179"/>
      <c r="J24" s="179"/>
      <c r="K24" s="179">
        <f>[14]Kiadások!$F$67</f>
        <v>50</v>
      </c>
      <c r="L24" s="179"/>
      <c r="M24" s="251">
        <f t="shared" ref="M24:M27" si="9">+F24+G24+H24+I24+K24+L24</f>
        <v>19130</v>
      </c>
      <c r="N24" s="273"/>
    </row>
    <row r="25" spans="1:14" ht="20.100000000000001" customHeight="1">
      <c r="A25" s="29" t="s">
        <v>268</v>
      </c>
      <c r="B25" s="179"/>
      <c r="C25" s="179">
        <v>4921</v>
      </c>
      <c r="D25" s="179"/>
      <c r="E25" s="181">
        <f t="shared" si="4"/>
        <v>4921</v>
      </c>
      <c r="F25" s="179"/>
      <c r="G25" s="179"/>
      <c r="H25" s="179">
        <v>4921</v>
      </c>
      <c r="I25" s="179"/>
      <c r="J25" s="179"/>
      <c r="K25" s="179"/>
      <c r="L25" s="179"/>
      <c r="M25" s="251">
        <f t="shared" si="9"/>
        <v>4921</v>
      </c>
      <c r="N25" s="273"/>
    </row>
    <row r="26" spans="1:14" ht="20.100000000000001" customHeight="1">
      <c r="A26" s="29" t="s">
        <v>269</v>
      </c>
      <c r="B26" s="179"/>
      <c r="C26" s="179">
        <v>4840</v>
      </c>
      <c r="D26" s="179">
        <v>2748</v>
      </c>
      <c r="E26" s="181">
        <f t="shared" si="4"/>
        <v>7588</v>
      </c>
      <c r="F26" s="179">
        <f>[15]Kiadások!$F$25</f>
        <v>3303</v>
      </c>
      <c r="G26" s="179">
        <v>822</v>
      </c>
      <c r="H26" s="179">
        <f>[15]Kiadások!$F$53</f>
        <v>2862</v>
      </c>
      <c r="I26" s="179"/>
      <c r="J26" s="179"/>
      <c r="K26" s="179"/>
      <c r="L26" s="179">
        <v>601</v>
      </c>
      <c r="M26" s="251">
        <f t="shared" si="9"/>
        <v>7588</v>
      </c>
      <c r="N26" s="273"/>
    </row>
    <row r="27" spans="1:14" ht="20.100000000000001" customHeight="1">
      <c r="A27" s="29" t="s">
        <v>270</v>
      </c>
      <c r="B27" s="179"/>
      <c r="C27" s="179">
        <v>82442</v>
      </c>
      <c r="D27" s="179"/>
      <c r="E27" s="181">
        <f t="shared" si="4"/>
        <v>82442</v>
      </c>
      <c r="F27" s="179">
        <v>8822</v>
      </c>
      <c r="G27" s="179">
        <v>1944</v>
      </c>
      <c r="H27" s="179">
        <f>[16]Kiadások!$F$53</f>
        <v>225.60000000000002</v>
      </c>
      <c r="I27" s="179"/>
      <c r="J27" s="179"/>
      <c r="K27" s="179"/>
      <c r="L27" s="179">
        <v>71450</v>
      </c>
      <c r="M27" s="251">
        <f t="shared" si="9"/>
        <v>82441.600000000006</v>
      </c>
      <c r="N27" s="273"/>
    </row>
    <row r="28" spans="1:14" s="20" customFormat="1" ht="20.100000000000001" customHeight="1">
      <c r="A28" s="71" t="s">
        <v>212</v>
      </c>
      <c r="B28" s="178"/>
      <c r="C28" s="178">
        <v>35363</v>
      </c>
      <c r="D28" s="178"/>
      <c r="E28" s="181">
        <f t="shared" si="4"/>
        <v>35363</v>
      </c>
      <c r="F28" s="178">
        <f>[1]Sportiroda!$F$57</f>
        <v>9464</v>
      </c>
      <c r="G28" s="178">
        <v>2011</v>
      </c>
      <c r="H28" s="178">
        <v>23088</v>
      </c>
      <c r="I28" s="178"/>
      <c r="J28" s="178"/>
      <c r="K28" s="178">
        <f>[1]Sportiroda!$F$99</f>
        <v>800</v>
      </c>
      <c r="L28" s="178"/>
      <c r="M28" s="256">
        <f t="shared" si="3"/>
        <v>35363</v>
      </c>
      <c r="N28" s="273"/>
    </row>
    <row r="29" spans="1:14" ht="20.100000000000001" customHeight="1">
      <c r="A29" s="135" t="s">
        <v>213</v>
      </c>
      <c r="B29" s="178">
        <v>10000</v>
      </c>
      <c r="C29" s="178">
        <f>-530+21116-5000</f>
        <v>15586</v>
      </c>
      <c r="D29" s="178">
        <v>530</v>
      </c>
      <c r="E29" s="181">
        <f t="shared" si="4"/>
        <v>26116</v>
      </c>
      <c r="F29" s="178">
        <f>[1]Botanikus!$F$57</f>
        <v>16649</v>
      </c>
      <c r="G29" s="178">
        <v>3715</v>
      </c>
      <c r="H29" s="178">
        <f>[1]Botanikus!$F$85</f>
        <v>4990</v>
      </c>
      <c r="I29" s="178"/>
      <c r="J29" s="178"/>
      <c r="K29" s="178">
        <v>610</v>
      </c>
      <c r="L29" s="178">
        <f>[1]Botanikus!$F$104</f>
        <v>152</v>
      </c>
      <c r="M29" s="251">
        <f t="shared" si="3"/>
        <v>26116</v>
      </c>
      <c r="N29" s="273"/>
    </row>
    <row r="30" spans="1:14" s="24" customFormat="1" ht="29.25" customHeight="1">
      <c r="A30" s="279" t="s">
        <v>185</v>
      </c>
      <c r="B30" s="280">
        <f t="shared" ref="B30:M30" si="10">B6+B17</f>
        <v>321678</v>
      </c>
      <c r="C30" s="280">
        <f t="shared" si="10"/>
        <v>845480</v>
      </c>
      <c r="D30" s="280">
        <f t="shared" si="10"/>
        <v>441108</v>
      </c>
      <c r="E30" s="280">
        <f t="shared" si="10"/>
        <v>1608266</v>
      </c>
      <c r="F30" s="280">
        <f t="shared" si="10"/>
        <v>416159.2</v>
      </c>
      <c r="G30" s="280">
        <f t="shared" si="10"/>
        <v>95338</v>
      </c>
      <c r="H30" s="280">
        <f t="shared" si="10"/>
        <v>1173353.219</v>
      </c>
      <c r="I30" s="280">
        <f t="shared" si="10"/>
        <v>1749</v>
      </c>
      <c r="J30" s="280">
        <f t="shared" si="10"/>
        <v>0</v>
      </c>
      <c r="K30" s="280">
        <f t="shared" si="10"/>
        <v>18123</v>
      </c>
      <c r="L30" s="280">
        <f t="shared" si="10"/>
        <v>172163</v>
      </c>
      <c r="M30" s="281">
        <f t="shared" si="10"/>
        <v>1876885.419</v>
      </c>
      <c r="N30" s="273"/>
    </row>
    <row r="31" spans="1:14" s="24" customFormat="1" ht="22.5" customHeight="1" thickBot="1">
      <c r="A31" s="31" t="s">
        <v>1</v>
      </c>
      <c r="B31" s="275">
        <f t="shared" ref="B31:M31" si="11">SUM(B30:B30)</f>
        <v>321678</v>
      </c>
      <c r="C31" s="275">
        <f t="shared" si="11"/>
        <v>845480</v>
      </c>
      <c r="D31" s="275">
        <f t="shared" si="11"/>
        <v>441108</v>
      </c>
      <c r="E31" s="275">
        <f t="shared" si="11"/>
        <v>1608266</v>
      </c>
      <c r="F31" s="275">
        <f t="shared" si="11"/>
        <v>416159.2</v>
      </c>
      <c r="G31" s="275">
        <f t="shared" si="11"/>
        <v>95338</v>
      </c>
      <c r="H31" s="275">
        <f t="shared" si="11"/>
        <v>1173353.219</v>
      </c>
      <c r="I31" s="275">
        <f t="shared" si="11"/>
        <v>1749</v>
      </c>
      <c r="J31" s="275">
        <f t="shared" si="11"/>
        <v>0</v>
      </c>
      <c r="K31" s="275">
        <f t="shared" si="11"/>
        <v>18123</v>
      </c>
      <c r="L31" s="275">
        <f t="shared" si="11"/>
        <v>172163</v>
      </c>
      <c r="M31" s="276">
        <f t="shared" si="11"/>
        <v>1876885.419</v>
      </c>
    </row>
    <row r="32" spans="1:14">
      <c r="A32" s="268"/>
      <c r="B32" s="270"/>
      <c r="C32" s="270"/>
      <c r="D32" s="74"/>
    </row>
    <row r="33" spans="1:12">
      <c r="A33" s="271"/>
      <c r="B33" s="270"/>
      <c r="C33" s="270"/>
      <c r="D33" s="258"/>
      <c r="E33" s="200"/>
    </row>
    <row r="34" spans="1:12">
      <c r="A34" s="268"/>
      <c r="B34" s="270"/>
      <c r="C34" s="270"/>
      <c r="D34" s="74"/>
    </row>
    <row r="35" spans="1:12">
      <c r="A35" s="268"/>
      <c r="B35" s="269"/>
      <c r="C35" s="269"/>
      <c r="D35" s="249"/>
      <c r="E35" s="249"/>
      <c r="G35" s="19"/>
    </row>
    <row r="36" spans="1:12">
      <c r="A36" s="268"/>
      <c r="B36" s="269"/>
      <c r="C36" s="269"/>
      <c r="D36" s="249"/>
      <c r="E36" s="249"/>
      <c r="G36" s="19"/>
      <c r="K36" s="201"/>
      <c r="L36" s="19"/>
    </row>
    <row r="37" spans="1:12" ht="13.5">
      <c r="A37" s="271"/>
      <c r="B37" s="272"/>
      <c r="C37" s="269"/>
      <c r="D37" s="249"/>
      <c r="E37" s="249"/>
      <c r="K37" s="201"/>
      <c r="L37" s="19"/>
    </row>
    <row r="38" spans="1:12">
      <c r="A38" s="271"/>
      <c r="B38" s="269"/>
      <c r="C38" s="269"/>
      <c r="D38" s="249"/>
      <c r="E38" s="249"/>
      <c r="K38" s="201"/>
      <c r="L38" s="19"/>
    </row>
    <row r="39" spans="1:12">
      <c r="A39" s="268"/>
      <c r="B39" s="269"/>
      <c r="C39" s="269"/>
      <c r="D39" s="249"/>
      <c r="E39" s="249"/>
    </row>
    <row r="40" spans="1:12">
      <c r="C40" s="19"/>
    </row>
    <row r="45" spans="1:12">
      <c r="C45" s="19"/>
    </row>
  </sheetData>
  <mergeCells count="4">
    <mergeCell ref="A1:M1"/>
    <mergeCell ref="A3:A5"/>
    <mergeCell ref="B3:E4"/>
    <mergeCell ref="F3:M4"/>
  </mergeCells>
  <printOptions horizontalCentered="1"/>
  <pageMargins left="0" right="0.19685039370078741" top="0.55118110236220474" bottom="0.19685039370078741" header="0.31496062992125984" footer="0"/>
  <pageSetup paperSize="9" scale="72" fitToHeight="0" orientation="landscape" r:id="rId1"/>
  <headerFooter>
    <oddHeader>&amp;R&amp;"Times New Roman,Félkövér 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1.sz.melléklet</vt:lpstr>
      <vt:lpstr>2.sz.melléklet</vt:lpstr>
      <vt:lpstr>3.sz.melléklet</vt:lpstr>
      <vt:lpstr>4.sz.melléklet </vt:lpstr>
      <vt:lpstr>4a.sz.melléklet</vt:lpstr>
      <vt:lpstr>5.sz.melléklet  </vt:lpstr>
      <vt:lpstr>6.sz.melléklet (2)</vt:lpstr>
      <vt:lpstr>7.sz. melléklet  </vt:lpstr>
      <vt:lpstr>8.sz. melléklet  </vt:lpstr>
      <vt:lpstr>Munka2</vt:lpstr>
      <vt:lpstr>'1.sz.melléklet'!Nyomtatási_cím</vt:lpstr>
      <vt:lpstr>'1.sz.melléklet'!Nyomtatási_terület</vt:lpstr>
      <vt:lpstr>'6.sz.melléklet (2)'!Nyomtatási_terület</vt:lpstr>
      <vt:lpstr>'7.sz. melléklet  '!Nyomtatási_terület</vt:lpstr>
      <vt:lpstr>'8.sz. melléklet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Terike</dc:creator>
  <cp:lastModifiedBy>Makádiné Barta Bernadett</cp:lastModifiedBy>
  <cp:lastPrinted>2017-07-18T12:28:54Z</cp:lastPrinted>
  <dcterms:created xsi:type="dcterms:W3CDTF">2015-02-09T18:36:51Z</dcterms:created>
  <dcterms:modified xsi:type="dcterms:W3CDTF">2017-07-18T14:08:08Z</dcterms:modified>
</cp:coreProperties>
</file>